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4"/>
  </bookViews>
  <sheets>
    <sheet name="Auto_Krovak" sheetId="1" r:id="rId1"/>
    <sheet name="Auto_GK" sheetId="2" r:id="rId2"/>
    <sheet name="Auto_UTM" sheetId="3" r:id="rId3"/>
    <sheet name="Auto_WGS84" sheetId="4" r:id="rId4"/>
    <sheet name="Main" sheetId="5" r:id="rId5"/>
    <sheet name="Parameters" sheetId="6" state="hidden" r:id="rId6"/>
    <sheet name="Help" sheetId="7" r:id="rId7"/>
    <sheet name="Version" sheetId="8" r:id="rId8"/>
    <sheet name="abridged Molodensky" sheetId="9" state="hidden" r:id="rId9"/>
    <sheet name="Krovák to S-JTSK" sheetId="10" state="hidden" r:id="rId10"/>
    <sheet name="S-JTSK to Krovák" sheetId="11" state="hidden" r:id="rId11"/>
    <sheet name="GK to S-42" sheetId="12" state="hidden" r:id="rId12"/>
    <sheet name="S-42 to GK" sheetId="13" state="hidden" r:id="rId13"/>
    <sheet name="UTM to WGS84" sheetId="14" state="hidden" r:id="rId14"/>
    <sheet name="WGS84 to UTM" sheetId="15" state="hidden" r:id="rId15"/>
  </sheets>
  <definedNames/>
  <calcPr fullCalcOnLoad="1"/>
</workbook>
</file>

<file path=xl/sharedStrings.xml><?xml version="1.0" encoding="utf-8"?>
<sst xmlns="http://schemas.openxmlformats.org/spreadsheetml/2006/main" count="397" uniqueCount="179">
  <si>
    <t>a1</t>
  </si>
  <si>
    <t>f1</t>
  </si>
  <si>
    <t>a2</t>
  </si>
  <si>
    <t>f2</t>
  </si>
  <si>
    <t>FI1</t>
  </si>
  <si>
    <t>LA1</t>
  </si>
  <si>
    <t>FI1 rad</t>
  </si>
  <si>
    <t>LA1 rad</t>
  </si>
  <si>
    <t>dX</t>
  </si>
  <si>
    <t>dY</t>
  </si>
  <si>
    <t>dZ</t>
  </si>
  <si>
    <t>M</t>
  </si>
  <si>
    <t>N</t>
  </si>
  <si>
    <t>e1</t>
  </si>
  <si>
    <t>dFI sec</t>
  </si>
  <si>
    <t>dLA sec</t>
  </si>
  <si>
    <t>FI2</t>
  </si>
  <si>
    <t>LA2</t>
  </si>
  <si>
    <t>from Krovák</t>
  </si>
  <si>
    <t>from Gauss-Krüger</t>
  </si>
  <si>
    <t>from UTM</t>
  </si>
  <si>
    <t>Easting</t>
  </si>
  <si>
    <t>Northing</t>
  </si>
  <si>
    <t>S-JTSK</t>
  </si>
  <si>
    <t>latitude</t>
  </si>
  <si>
    <t>longitude</t>
  </si>
  <si>
    <t>to Gauss-Krüger</t>
  </si>
  <si>
    <t>to UTM</t>
  </si>
  <si>
    <t>S-42</t>
  </si>
  <si>
    <t>WGS84</t>
  </si>
  <si>
    <t>to Krovák</t>
  </si>
  <si>
    <t>from S-JTSK</t>
  </si>
  <si>
    <t>from S-42</t>
  </si>
  <si>
    <t>from WGS84</t>
  </si>
  <si>
    <t>Ferro-Greenwich shift</t>
  </si>
  <si>
    <t>degrees</t>
  </si>
  <si>
    <t>minutes</t>
  </si>
  <si>
    <t>seconds</t>
  </si>
  <si>
    <t>from S-JTSK to WGS84</t>
  </si>
  <si>
    <t>from S-42 to S-JTSK</t>
  </si>
  <si>
    <t>check: they all should be 0:</t>
  </si>
  <si>
    <t>Edit the cyan cells ONLY.</t>
  </si>
  <si>
    <t>x</t>
  </si>
  <si>
    <t>y</t>
  </si>
  <si>
    <t>fi0</t>
  </si>
  <si>
    <t>la0</t>
  </si>
  <si>
    <t>fi0 rad</t>
  </si>
  <si>
    <t>betakv</t>
  </si>
  <si>
    <t>m</t>
  </si>
  <si>
    <t>gamma</t>
  </si>
  <si>
    <t>lambv</t>
  </si>
  <si>
    <t>ro1</t>
  </si>
  <si>
    <t>RGauss*scale</t>
  </si>
  <si>
    <t>c</t>
  </si>
  <si>
    <t>betav</t>
  </si>
  <si>
    <t>fi</t>
  </si>
  <si>
    <t>la</t>
  </si>
  <si>
    <t>a</t>
  </si>
  <si>
    <t>b</t>
  </si>
  <si>
    <t>e2</t>
  </si>
  <si>
    <t>FIn rad</t>
  </si>
  <si>
    <t>Vn</t>
  </si>
  <si>
    <t>fi n</t>
  </si>
  <si>
    <t>n</t>
  </si>
  <si>
    <t>k</t>
  </si>
  <si>
    <t>LA rad</t>
  </si>
  <si>
    <t>FIk</t>
  </si>
  <si>
    <t>tga</t>
  </si>
  <si>
    <t>tga2</t>
  </si>
  <si>
    <t>FI2 rad</t>
  </si>
  <si>
    <t>tga3</t>
  </si>
  <si>
    <t>FI3 rad</t>
  </si>
  <si>
    <t>tga4</t>
  </si>
  <si>
    <t>FI4 rad</t>
  </si>
  <si>
    <t>tga5</t>
  </si>
  <si>
    <t>FI rad</t>
  </si>
  <si>
    <t>FI</t>
  </si>
  <si>
    <t>LA Ferro</t>
  </si>
  <si>
    <t>LA Greenw</t>
  </si>
  <si>
    <t>FI deg</t>
  </si>
  <si>
    <t>FI min</t>
  </si>
  <si>
    <t>FI sec</t>
  </si>
  <si>
    <t>LA deg</t>
  </si>
  <si>
    <t>LA min</t>
  </si>
  <si>
    <t>LA sec</t>
  </si>
  <si>
    <t>dec degree</t>
  </si>
  <si>
    <t>LA Gr</t>
  </si>
  <si>
    <t>LA</t>
  </si>
  <si>
    <t>la0 rad</t>
  </si>
  <si>
    <t>ro0</t>
  </si>
  <si>
    <t>FIn</t>
  </si>
  <si>
    <t>X</t>
  </si>
  <si>
    <t>Y</t>
  </si>
  <si>
    <t>e</t>
  </si>
  <si>
    <t>FE</t>
  </si>
  <si>
    <t>FN</t>
  </si>
  <si>
    <t>lambda0</t>
  </si>
  <si>
    <t>lambda0(rad)</t>
  </si>
  <si>
    <t>fi0 (rad)</t>
  </si>
  <si>
    <t>k0</t>
  </si>
  <si>
    <t>M0</t>
  </si>
  <si>
    <t>mu</t>
  </si>
  <si>
    <t>fi1</t>
  </si>
  <si>
    <t>e'2</t>
  </si>
  <si>
    <t>C1</t>
  </si>
  <si>
    <t>T1</t>
  </si>
  <si>
    <t>N1</t>
  </si>
  <si>
    <t>R1</t>
  </si>
  <si>
    <t>D</t>
  </si>
  <si>
    <t>fi (rad)</t>
  </si>
  <si>
    <t>lambda (rad)</t>
  </si>
  <si>
    <t>lambda</t>
  </si>
  <si>
    <t>T</t>
  </si>
  <si>
    <t>C</t>
  </si>
  <si>
    <t>A</t>
  </si>
  <si>
    <t>ZONE</t>
  </si>
  <si>
    <t>datum</t>
  </si>
  <si>
    <t>Moldensky shift parameters (m)</t>
  </si>
  <si>
    <r>
      <t xml:space="preserve">Equations derived by </t>
    </r>
    <r>
      <rPr>
        <b/>
        <sz val="10"/>
        <rFont val="Arial"/>
        <family val="2"/>
      </rPr>
      <t>József Varga</t>
    </r>
    <r>
      <rPr>
        <sz val="10"/>
        <rFont val="Arial"/>
        <family val="0"/>
      </rPr>
      <t xml:space="preserve"> (Technical University of Budapest) and </t>
    </r>
    <r>
      <rPr>
        <b/>
        <sz val="10"/>
        <rFont val="Arial"/>
        <family val="2"/>
      </rPr>
      <t>Gábor Virág</t>
    </r>
    <r>
      <rPr>
        <sz val="10"/>
        <rFont val="Arial"/>
        <family val="0"/>
      </rPr>
      <t xml:space="preserve"> (FÖMI Space Geodesy Observatory,</t>
    </r>
  </si>
  <si>
    <r>
      <t xml:space="preserve">Compiled by </t>
    </r>
    <r>
      <rPr>
        <b/>
        <sz val="10"/>
        <rFont val="Arial"/>
        <family val="2"/>
      </rPr>
      <t>Gábor Timár</t>
    </r>
    <r>
      <rPr>
        <sz val="10"/>
        <rFont val="Arial"/>
        <family val="0"/>
      </rPr>
      <t xml:space="preserve">, Eötvös University of Budapest, e-mail: </t>
    </r>
    <r>
      <rPr>
        <u val="single"/>
        <sz val="10"/>
        <color indexed="12"/>
        <rFont val="Arial"/>
        <family val="2"/>
      </rPr>
      <t>timar@ludens.elte.hu</t>
    </r>
  </si>
  <si>
    <t>latitude (dms)</t>
  </si>
  <si>
    <t>longitude (dms)</t>
  </si>
  <si>
    <t>Penc, Hungary) were used for computing the Krovák projection.</t>
  </si>
  <si>
    <t>input------&gt;</t>
  </si>
  <si>
    <t>Majster V1.0</t>
  </si>
  <si>
    <t>accuracy ~3 meter (see the Help page)</t>
  </si>
  <si>
    <t>Distribute freely - please note all changes to the e-mail below.</t>
  </si>
  <si>
    <t>Results are shown by red.</t>
  </si>
  <si>
    <t>PARAMETER PAGE</t>
  </si>
  <si>
    <t>HELP PAGE</t>
  </si>
  <si>
    <t>Usage:</t>
  </si>
  <si>
    <t>e.g. in Krovák, select the box "from Krovák", write your Krovák coordinates to the Input cells, and</t>
  </si>
  <si>
    <t>the resulting Gauss-Krüger and UTM coordinates will appear below.</t>
  </si>
  <si>
    <t>Besides the grid coordinates, geodetic coordinates on the appropriate datum appear. Do not edit them.</t>
  </si>
  <si>
    <t>When you use one selected box, coordinates in the other two boxes won't change.</t>
  </si>
  <si>
    <t>Method:</t>
  </si>
  <si>
    <t>The software uses the direct and reverse equations of the Krovák, Gauss-Krüger and UTM projections</t>
  </si>
  <si>
    <t>(find them in the hidden worksheets). Simple 'abridged Molodensky' equations are used in the</t>
  </si>
  <si>
    <t>Concerning the Gauss-Krüger and UTM, the meridians of 0, 6, 12, 18, etc. degrees are real discrimination</t>
  </si>
  <si>
    <t>coordinates of a point situated east of 18 degree in this version.</t>
  </si>
  <si>
    <t>Accuracy:</t>
  </si>
  <si>
    <t>Parameters:</t>
  </si>
  <si>
    <t>The Molodensky shift parameters and the Ferro-Greenwich shift constant (for the Krovák grid) can be</t>
  </si>
  <si>
    <t>set in the Parameters page. Edit them with caution.</t>
  </si>
  <si>
    <t>The grid equations are accurate to millimeter-order. The abridged Molodensky method provides</t>
  </si>
  <si>
    <t>not so good accuracy: between UTM and Gauss-Krüger its error is up to 2 meters. If Krovák/S-JTSK</t>
  </si>
  <si>
    <t>is involved, the error is up to 3,5 meters.</t>
  </si>
  <si>
    <t>Request:</t>
  </si>
  <si>
    <t>Use with caution.</t>
  </si>
  <si>
    <t>TRANSFORMATION OF KROVÁK (CZECHOSLOVAK GRID), GAUSS-KRÜGER AND UTM COORDINATES</t>
  </si>
  <si>
    <r>
      <t xml:space="preserve">Please note all of your changes to </t>
    </r>
    <r>
      <rPr>
        <u val="single"/>
        <sz val="10"/>
        <color indexed="12"/>
        <rFont val="Arial"/>
        <family val="2"/>
      </rPr>
      <t>timar@ludens.elte.hu</t>
    </r>
    <r>
      <rPr>
        <sz val="10"/>
        <rFont val="Arial"/>
        <family val="0"/>
      </rPr>
      <t>, along with the modified table.</t>
    </r>
  </si>
  <si>
    <t>FILL THE GREEN FIELDS WITH THE SELECTED PARAMETERS.</t>
  </si>
  <si>
    <t>The Main Page contains three independent calculator boxes. If you have the coordinates to transform</t>
  </si>
  <si>
    <r>
      <t xml:space="preserve">  John P. Snyder</t>
    </r>
    <r>
      <rPr>
        <sz val="10"/>
        <rFont val="Arial"/>
        <family val="0"/>
      </rPr>
      <t xml:space="preserve"> (1987): Map projections - a working manual. </t>
    </r>
    <r>
      <rPr>
        <i/>
        <sz val="10"/>
        <rFont val="Arial"/>
        <family val="2"/>
      </rPr>
      <t>USGS Prof. Paper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1395</t>
    </r>
    <r>
      <rPr>
        <sz val="10"/>
        <rFont val="Arial"/>
        <family val="0"/>
      </rPr>
      <t>: 1-261</t>
    </r>
  </si>
  <si>
    <r>
      <t>References: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František Kuska</t>
    </r>
    <r>
      <rPr>
        <sz val="10"/>
        <rFont val="Arial"/>
        <family val="0"/>
      </rPr>
      <t xml:space="preserve"> (1960): Matematická Kartografia. Slovenské Vydateľstvo Technickej Literatúry, Bratislava, 388 p.</t>
    </r>
  </si>
  <si>
    <t>from WGS84 to S-42 (CS)</t>
  </si>
  <si>
    <t>Majster V1.1</t>
  </si>
  <si>
    <t>Modification date</t>
  </si>
  <si>
    <t>Modification description</t>
  </si>
  <si>
    <t>Correction of the Easting/Northing switch in the Krovák grid calculation.</t>
  </si>
  <si>
    <t>Version</t>
  </si>
  <si>
    <t>Zone(optional)</t>
  </si>
  <si>
    <t>Zone</t>
  </si>
  <si>
    <t>Put coordinates for transformation</t>
  </si>
  <si>
    <t>to these columns (use decimals)</t>
  </si>
  <si>
    <t>From WGS84</t>
  </si>
  <si>
    <t>Press the button</t>
  </si>
  <si>
    <t>when ready to go!</t>
  </si>
  <si>
    <t>(input zone for which you want to get Gauss-Kruger)</t>
  </si>
  <si>
    <t>Optional parameter for Gauss-Krüger Zone</t>
  </si>
  <si>
    <t>... WGS84</t>
  </si>
  <si>
    <r>
      <t>datum shift transformation.</t>
    </r>
    <r>
      <rPr>
        <b/>
        <sz val="10"/>
        <rFont val="Arial"/>
        <family val="2"/>
      </rPr>
      <t xml:space="preserve"> Krovák </t>
    </r>
    <r>
      <rPr>
        <sz val="10"/>
        <rFont val="Arial"/>
        <family val="0"/>
      </rPr>
      <t xml:space="preserve">grid coordinates are interpreted on </t>
    </r>
    <r>
      <rPr>
        <b/>
        <sz val="10"/>
        <rFont val="Arial"/>
        <family val="2"/>
      </rPr>
      <t>S-JTSK</t>
    </r>
    <r>
      <rPr>
        <sz val="10"/>
        <rFont val="Arial"/>
        <family val="0"/>
      </rPr>
      <t xml:space="preserve"> datum, </t>
    </r>
    <r>
      <rPr>
        <b/>
        <sz val="10"/>
        <rFont val="Arial"/>
        <family val="2"/>
      </rPr>
      <t>Gauss-Krüger</t>
    </r>
  </si>
  <si>
    <r>
      <t xml:space="preserve">coordinates on </t>
    </r>
    <r>
      <rPr>
        <b/>
        <sz val="10"/>
        <rFont val="Arial"/>
        <family val="2"/>
      </rPr>
      <t>S-42</t>
    </r>
    <r>
      <rPr>
        <sz val="10"/>
        <rFont val="Arial"/>
        <family val="0"/>
      </rPr>
      <t xml:space="preserve"> datum and </t>
    </r>
    <r>
      <rPr>
        <b/>
        <sz val="10"/>
        <rFont val="Arial"/>
        <family val="2"/>
      </rPr>
      <t>UTM</t>
    </r>
    <r>
      <rPr>
        <sz val="10"/>
        <rFont val="Arial"/>
        <family val="0"/>
      </rPr>
      <t xml:space="preserve"> coordinates on </t>
    </r>
    <r>
      <rPr>
        <b/>
        <sz val="10"/>
        <rFont val="Arial"/>
        <family val="2"/>
      </rPr>
      <t>WGS84</t>
    </r>
    <r>
      <rPr>
        <sz val="10"/>
        <rFont val="Arial"/>
        <family val="0"/>
      </rPr>
      <t xml:space="preserve"> datum. No other interpretations can be set.</t>
    </r>
  </si>
  <si>
    <r>
      <t xml:space="preserve">lines: zone numbers are depending directly on longitudes. </t>
    </r>
    <r>
      <rPr>
        <b/>
        <i/>
        <sz val="10"/>
        <rFont val="Arial"/>
        <family val="2"/>
      </rPr>
      <t>E.g. you cannot calculate the UTM Zone 33</t>
    </r>
  </si>
  <si>
    <t>UTM Zone</t>
  </si>
  <si>
    <t>From Krovák</t>
  </si>
  <si>
    <t>to WGS84</t>
  </si>
  <si>
    <t>From Gauss-Krüger</t>
  </si>
  <si>
    <t>From UTM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</si>
</sst>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Zone&quot;\ #"/>
    <numFmt numFmtId="174" formatCode="0.00000"/>
    <numFmt numFmtId="175" formatCode="0.0000"/>
    <numFmt numFmtId="176" formatCode="&quot;UTM Zone&quot;\ #"/>
  </numFmts>
  <fonts count="14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2" fillId="0" borderId="0" xfId="0" applyFont="1" applyAlignment="1">
      <alignment/>
    </xf>
    <xf numFmtId="0" fontId="1" fillId="4" borderId="2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1" fontId="0" fillId="6" borderId="0" xfId="0" applyNumberForma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0" fillId="6" borderId="0" xfId="0" applyNumberFormat="1" applyFill="1" applyBorder="1" applyAlignment="1">
      <alignment/>
    </xf>
    <xf numFmtId="0" fontId="2" fillId="7" borderId="4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174" fontId="3" fillId="0" borderId="0" xfId="0" applyNumberFormat="1" applyFont="1" applyBorder="1" applyAlignment="1">
      <alignment/>
    </xf>
    <xf numFmtId="174" fontId="3" fillId="0" borderId="7" xfId="0" applyNumberFormat="1" applyFont="1" applyBorder="1" applyAlignment="1">
      <alignment/>
    </xf>
    <xf numFmtId="174" fontId="3" fillId="0" borderId="3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2" fillId="8" borderId="4" xfId="0" applyFont="1" applyFill="1" applyBorder="1" applyAlignment="1">
      <alignment/>
    </xf>
    <xf numFmtId="0" fontId="0" fillId="8" borderId="5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" fontId="0" fillId="0" borderId="9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8" borderId="6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7" xfId="0" applyBorder="1" applyAlignment="1">
      <alignment/>
    </xf>
    <xf numFmtId="0" fontId="0" fillId="8" borderId="3" xfId="0" applyFill="1" applyBorder="1" applyAlignment="1">
      <alignment/>
    </xf>
    <xf numFmtId="173" fontId="3" fillId="0" borderId="8" xfId="0" applyNumberFormat="1" applyFont="1" applyBorder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76" fontId="12" fillId="0" borderId="3" xfId="0" applyNumberFormat="1" applyFont="1" applyBorder="1" applyAlignment="1">
      <alignment/>
    </xf>
    <xf numFmtId="176" fontId="13" fillId="6" borderId="0" xfId="0" applyNumberFormat="1" applyFont="1" applyFill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0" xfId="0" applyNumberFormat="1" applyFont="1" applyFill="1" applyBorder="1" applyAlignment="1">
      <alignment/>
    </xf>
    <xf numFmtId="176" fontId="8" fillId="6" borderId="0" xfId="0" applyNumberFormat="1" applyFont="1" applyFill="1" applyBorder="1" applyAlignment="1">
      <alignment/>
    </xf>
    <xf numFmtId="173" fontId="8" fillId="6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28575</xdr:colOff>
      <xdr:row>11</xdr:row>
      <xdr:rowOff>9525</xdr:rowOff>
    </xdr:to>
    <xdr:pic>
      <xdr:nvPicPr>
        <xdr:cNvPr id="1" name="RunTrans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28575</xdr:colOff>
      <xdr:row>11</xdr:row>
      <xdr:rowOff>9525</xdr:rowOff>
    </xdr:to>
    <xdr:pic>
      <xdr:nvPicPr>
        <xdr:cNvPr id="1" name="RunTrans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28575</xdr:colOff>
      <xdr:row>11</xdr:row>
      <xdr:rowOff>9525</xdr:rowOff>
    </xdr:to>
    <xdr:pic>
      <xdr:nvPicPr>
        <xdr:cNvPr id="1" name="RunTrans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28575</xdr:colOff>
      <xdr:row>11</xdr:row>
      <xdr:rowOff>9525</xdr:rowOff>
    </xdr:to>
    <xdr:pic>
      <xdr:nvPicPr>
        <xdr:cNvPr id="1" name="RunTrans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S205"/>
  <sheetViews>
    <sheetView workbookViewId="0" topLeftCell="A1">
      <selection activeCell="F4" sqref="F4:G4"/>
    </sheetView>
  </sheetViews>
  <sheetFormatPr defaultColWidth="9.140625" defaultRowHeight="12.75"/>
  <cols>
    <col min="5" max="5" width="7.00390625" style="0" customWidth="1"/>
    <col min="8" max="8" width="11.00390625" style="0" bestFit="1" customWidth="1"/>
    <col min="12" max="12" width="5.28125" style="0" customWidth="1"/>
    <col min="13" max="14" width="9.421875" style="54" bestFit="1" customWidth="1"/>
  </cols>
  <sheetData>
    <row r="1" spans="1:9" ht="12.75">
      <c r="A1" s="19"/>
      <c r="H1" s="54"/>
      <c r="I1" s="54"/>
    </row>
    <row r="2" spans="1:9" ht="12.75">
      <c r="A2" s="19"/>
      <c r="B2" s="24" t="s">
        <v>163</v>
      </c>
      <c r="C2" s="24"/>
      <c r="D2" s="24"/>
      <c r="H2" s="54"/>
      <c r="I2" s="55"/>
    </row>
    <row r="3" spans="2:14" ht="13.5" thickBot="1">
      <c r="B3" s="24" t="s">
        <v>164</v>
      </c>
      <c r="D3" s="24"/>
      <c r="F3" s="56" t="s">
        <v>176</v>
      </c>
      <c r="H3" s="56" t="s">
        <v>26</v>
      </c>
      <c r="J3" s="57" t="s">
        <v>27</v>
      </c>
      <c r="M3" s="62"/>
      <c r="N3" s="62"/>
    </row>
    <row r="4" spans="1:14" ht="12.75">
      <c r="A4" s="59" t="s">
        <v>175</v>
      </c>
      <c r="B4" s="59"/>
      <c r="C4" s="38" t="s">
        <v>21</v>
      </c>
      <c r="D4" s="38" t="s">
        <v>22</v>
      </c>
      <c r="F4" s="59" t="s">
        <v>24</v>
      </c>
      <c r="G4" s="59" t="s">
        <v>25</v>
      </c>
      <c r="H4" s="38" t="s">
        <v>21</v>
      </c>
      <c r="I4" s="38" t="s">
        <v>22</v>
      </c>
      <c r="J4" s="38" t="s">
        <v>21</v>
      </c>
      <c r="K4" s="38" t="s">
        <v>22</v>
      </c>
      <c r="L4" s="42" t="s">
        <v>162</v>
      </c>
      <c r="M4" s="62"/>
      <c r="N4" s="62"/>
    </row>
    <row r="5" spans="3:19" ht="12.75">
      <c r="C5" s="61">
        <v>870723.570069363</v>
      </c>
      <c r="D5" s="61">
        <v>1141510.7631392125</v>
      </c>
      <c r="F5" s="61">
        <v>49.04348655117425</v>
      </c>
      <c r="G5" s="61">
        <v>12.872381292570857</v>
      </c>
      <c r="H5" s="61">
        <v>3344522.4055742747</v>
      </c>
      <c r="I5" s="61">
        <v>5436720.276175161</v>
      </c>
      <c r="J5" s="61">
        <v>344462.15489779745</v>
      </c>
      <c r="K5" s="61">
        <v>5434406.234513123</v>
      </c>
      <c r="L5" s="61">
        <v>33</v>
      </c>
      <c r="M5" s="62"/>
      <c r="N5" s="62"/>
      <c r="O5" s="61"/>
      <c r="P5" s="61"/>
      <c r="Q5" s="61"/>
      <c r="R5" s="61"/>
      <c r="S5" s="61"/>
    </row>
    <row r="6" spans="3:19" ht="12.75">
      <c r="C6" s="61">
        <v>821357.3166942963</v>
      </c>
      <c r="D6" s="61">
        <v>1150282.4452950696</v>
      </c>
      <c r="F6" s="61">
        <v>49.03308037016076</v>
      </c>
      <c r="G6" s="61">
        <v>13.557977789340018</v>
      </c>
      <c r="H6" s="61">
        <v>3394613.5059204143</v>
      </c>
      <c r="I6" s="61">
        <v>5434383.856384339</v>
      </c>
      <c r="J6" s="61">
        <v>394532.8545416972</v>
      </c>
      <c r="K6" s="61">
        <v>5432070.773490073</v>
      </c>
      <c r="L6" s="61">
        <v>33</v>
      </c>
      <c r="M6" s="62"/>
      <c r="N6" s="62"/>
      <c r="O6" s="61"/>
      <c r="P6" s="63"/>
      <c r="Q6" s="63"/>
      <c r="R6" s="63"/>
      <c r="S6" s="64"/>
    </row>
    <row r="7" spans="3:19" ht="12.75">
      <c r="C7" s="61">
        <v>771990.3343471021</v>
      </c>
      <c r="D7" s="61">
        <v>1159051.2492570435</v>
      </c>
      <c r="F7" s="61">
        <v>49.0185731258857</v>
      </c>
      <c r="G7" s="61">
        <v>14.243273998082053</v>
      </c>
      <c r="H7" s="61">
        <v>3444701.130512937</v>
      </c>
      <c r="I7" s="61">
        <v>5432044.686421927</v>
      </c>
      <c r="J7" s="61">
        <v>444600.07951536967</v>
      </c>
      <c r="K7" s="61">
        <v>5429732.560742927</v>
      </c>
      <c r="L7" s="61">
        <v>33</v>
      </c>
      <c r="M7" s="62"/>
      <c r="N7" s="62"/>
      <c r="O7" s="61"/>
      <c r="P7" s="63"/>
      <c r="Q7" s="63"/>
      <c r="R7" s="64"/>
      <c r="S7" s="61"/>
    </row>
    <row r="8" spans="1:19" ht="12.75">
      <c r="A8" s="24" t="s">
        <v>166</v>
      </c>
      <c r="B8" s="24"/>
      <c r="C8" s="61">
        <v>722628.5283312749</v>
      </c>
      <c r="D8" s="61">
        <v>1167817.8525815678</v>
      </c>
      <c r="F8" s="61">
        <v>48.99996482318726</v>
      </c>
      <c r="G8" s="61">
        <v>14.928069853717982</v>
      </c>
      <c r="H8" s="61">
        <v>3494781.9577972456</v>
      </c>
      <c r="I8" s="61">
        <v>5429702.077142531</v>
      </c>
      <c r="J8" s="61">
        <v>494660.50964645453</v>
      </c>
      <c r="K8" s="61">
        <v>5427390.907402259</v>
      </c>
      <c r="L8" s="61">
        <v>33</v>
      </c>
      <c r="M8" s="62"/>
      <c r="N8" s="62"/>
      <c r="O8" s="61"/>
      <c r="P8" s="63"/>
      <c r="Q8" s="63"/>
      <c r="R8" s="64"/>
      <c r="S8" s="61"/>
    </row>
    <row r="9" spans="1:19" ht="12.75">
      <c r="A9" s="24" t="s">
        <v>167</v>
      </c>
      <c r="B9" s="24"/>
      <c r="C9" s="61">
        <v>659549.1052903971</v>
      </c>
      <c r="D9" s="61">
        <v>1063613.0760039613</v>
      </c>
      <c r="F9" s="61">
        <v>50.000678634659</v>
      </c>
      <c r="G9" s="61">
        <v>15.612289851164238</v>
      </c>
      <c r="H9" s="61">
        <v>3543937.052318878</v>
      </c>
      <c r="I9" s="61">
        <v>5541165.443387427</v>
      </c>
      <c r="J9" s="61">
        <v>543795.5887268651</v>
      </c>
      <c r="K9" s="61">
        <v>5538808.87924529</v>
      </c>
      <c r="L9" s="61">
        <v>33</v>
      </c>
      <c r="M9" s="62"/>
      <c r="N9" s="62"/>
      <c r="O9" s="61"/>
      <c r="P9" s="63"/>
      <c r="Q9" s="63"/>
      <c r="R9" s="64"/>
      <c r="S9" s="61"/>
    </row>
    <row r="10" spans="3:19" ht="12.75">
      <c r="C10" s="61">
        <v>623910.9761069332</v>
      </c>
      <c r="D10" s="61">
        <v>1185374.926606801</v>
      </c>
      <c r="F10" s="61">
        <v>48.95024503723415</v>
      </c>
      <c r="G10" s="61">
        <v>16.295860313022555</v>
      </c>
      <c r="H10" s="61">
        <v>3594946.760625563</v>
      </c>
      <c r="I10" s="61">
        <v>5424980.315758662</v>
      </c>
      <c r="J10" s="61">
        <v>594784.5160923791</v>
      </c>
      <c r="K10" s="61">
        <v>5422671.064728446</v>
      </c>
      <c r="L10" s="61">
        <v>33</v>
      </c>
      <c r="M10" s="62"/>
      <c r="N10" s="62"/>
      <c r="O10" s="61"/>
      <c r="P10" s="63"/>
      <c r="Q10" s="63"/>
      <c r="R10" s="64"/>
      <c r="S10" s="61"/>
    </row>
    <row r="11" spans="3:19" ht="12.75">
      <c r="C11" s="61">
        <v>574558.9218669084</v>
      </c>
      <c r="D11" s="61">
        <v>1194157.3694594759</v>
      </c>
      <c r="F11" s="61">
        <v>48.91923357852293</v>
      </c>
      <c r="G11" s="61">
        <v>16.978554805186388</v>
      </c>
      <c r="H11" s="61">
        <v>3645031.378159167</v>
      </c>
      <c r="I11" s="61">
        <v>5422609.903237756</v>
      </c>
      <c r="J11" s="61">
        <v>644848.7341926235</v>
      </c>
      <c r="K11" s="61">
        <v>5420301.611407566</v>
      </c>
      <c r="L11" s="61">
        <v>33</v>
      </c>
      <c r="M11" s="62"/>
      <c r="N11" s="62"/>
      <c r="O11" s="61"/>
      <c r="P11" s="61"/>
      <c r="Q11" s="61"/>
      <c r="R11" s="61"/>
      <c r="S11" s="61"/>
    </row>
    <row r="12" spans="3:19" ht="12.75">
      <c r="C12" s="61">
        <v>525207.7753666592</v>
      </c>
      <c r="D12" s="61">
        <v>1202945.3561887639</v>
      </c>
      <c r="F12" s="61">
        <v>48.884121084381945</v>
      </c>
      <c r="G12" s="61">
        <v>17.660348745110763</v>
      </c>
      <c r="H12" s="61">
        <v>3695125.097083916</v>
      </c>
      <c r="I12" s="61">
        <v>5420231.4026518995</v>
      </c>
      <c r="J12" s="61">
        <v>694922.0497889853</v>
      </c>
      <c r="K12" s="61">
        <v>5417924.070614912</v>
      </c>
      <c r="L12" s="61">
        <v>33</v>
      </c>
      <c r="M12" s="62"/>
      <c r="N12" s="62"/>
      <c r="O12" s="61"/>
      <c r="P12" s="61"/>
      <c r="Q12" s="61"/>
      <c r="R12" s="61"/>
      <c r="S12" s="61"/>
    </row>
    <row r="13" spans="3:19" ht="12.75">
      <c r="C13" s="61">
        <v>475865.07238865463</v>
      </c>
      <c r="D13" s="61">
        <v>1211751.3317304926</v>
      </c>
      <c r="F13" s="61">
        <v>48.844807551480265</v>
      </c>
      <c r="G13" s="61">
        <v>18.34104206779004</v>
      </c>
      <c r="H13" s="61">
        <v>4304850.759064901</v>
      </c>
      <c r="I13" s="61">
        <v>5415855.957702035</v>
      </c>
      <c r="J13" s="61">
        <v>304807.73668682395</v>
      </c>
      <c r="K13" s="61">
        <v>5413560.116968552</v>
      </c>
      <c r="L13" s="61">
        <v>34</v>
      </c>
      <c r="M13" s="62"/>
      <c r="N13" s="62"/>
      <c r="O13" s="61"/>
      <c r="P13" s="61"/>
      <c r="Q13" s="61"/>
      <c r="R13" s="61"/>
      <c r="S13" s="61"/>
    </row>
    <row r="14" spans="3:19" ht="12.75">
      <c r="C14" s="61">
        <v>861971.016628541</v>
      </c>
      <c r="D14" s="61">
        <v>1092279.5255021711</v>
      </c>
      <c r="F14" s="61">
        <v>49.49304069091086</v>
      </c>
      <c r="G14" s="61">
        <v>12.885190245429683</v>
      </c>
      <c r="H14" s="61">
        <v>3346857.3752373974</v>
      </c>
      <c r="I14" s="61">
        <v>5486680.534121063</v>
      </c>
      <c r="J14" s="61">
        <v>346796.1652117854</v>
      </c>
      <c r="K14" s="61">
        <v>5484346.145345585</v>
      </c>
      <c r="L14" s="61">
        <v>33</v>
      </c>
      <c r="M14" s="62"/>
      <c r="N14" s="62"/>
      <c r="O14" s="61"/>
      <c r="P14" s="61"/>
      <c r="Q14" s="61"/>
      <c r="R14" s="61"/>
      <c r="S14" s="61"/>
    </row>
    <row r="15" spans="3:19" ht="12.75">
      <c r="C15" s="61">
        <v>812600.0719639442</v>
      </c>
      <c r="D15" s="61">
        <v>1101055.230167354</v>
      </c>
      <c r="F15" s="61">
        <v>49.4825344034114</v>
      </c>
      <c r="G15" s="61">
        <v>13.577188525500556</v>
      </c>
      <c r="H15" s="61">
        <v>3396958.532551315</v>
      </c>
      <c r="I15" s="61">
        <v>5484335.321730091</v>
      </c>
      <c r="J15" s="61">
        <v>396876.92039821227</v>
      </c>
      <c r="K15" s="61">
        <v>5482001.894978763</v>
      </c>
      <c r="L15" s="61">
        <v>33</v>
      </c>
      <c r="M15" s="62"/>
      <c r="N15" s="62"/>
      <c r="O15" s="61"/>
      <c r="P15" s="61"/>
      <c r="Q15" s="61"/>
      <c r="R15" s="61"/>
      <c r="S15" s="61"/>
    </row>
    <row r="16" spans="3:19" ht="12.75">
      <c r="C16" s="61">
        <v>763233.0622367766</v>
      </c>
      <c r="D16" s="61">
        <v>1109822.3876090231</v>
      </c>
      <c r="F16" s="61">
        <v>49.46792703830907</v>
      </c>
      <c r="G16" s="61">
        <v>14.268786494918178</v>
      </c>
      <c r="H16" s="61">
        <v>3447050.0569432187</v>
      </c>
      <c r="I16" s="61">
        <v>5481994.790819779</v>
      </c>
      <c r="J16" s="61">
        <v>446948.0462563008</v>
      </c>
      <c r="K16" s="61">
        <v>5479662.321542075</v>
      </c>
      <c r="L16" s="61">
        <v>33</v>
      </c>
      <c r="M16" s="62"/>
      <c r="N16" s="62"/>
      <c r="O16" s="61"/>
      <c r="P16" s="61"/>
      <c r="Q16" s="61"/>
      <c r="R16" s="61"/>
      <c r="S16" s="61"/>
    </row>
    <row r="17" spans="3:19" ht="12.75">
      <c r="C17" s="61">
        <v>713862.8293199242</v>
      </c>
      <c r="D17" s="61">
        <v>1118594.884718729</v>
      </c>
      <c r="F17" s="61">
        <v>49.4491185868459</v>
      </c>
      <c r="G17" s="61">
        <v>14.959984113239837</v>
      </c>
      <c r="H17" s="61">
        <v>3497143.3147330177</v>
      </c>
      <c r="I17" s="61">
        <v>5479646.926004863</v>
      </c>
      <c r="J17" s="61">
        <v>497020.904508078</v>
      </c>
      <c r="K17" s="61">
        <v>5477315.414539851</v>
      </c>
      <c r="L17" s="61">
        <v>33</v>
      </c>
      <c r="M17" s="62"/>
      <c r="N17" s="62"/>
      <c r="O17" s="61"/>
      <c r="P17" s="61"/>
      <c r="Q17" s="61"/>
      <c r="R17" s="61"/>
      <c r="S17" s="61"/>
    </row>
    <row r="18" spans="3:19" ht="12.75">
      <c r="C18" s="61">
        <v>664502.1609531329</v>
      </c>
      <c r="D18" s="61">
        <v>1127372.7923781585</v>
      </c>
      <c r="F18" s="61">
        <v>49.42610905571448</v>
      </c>
      <c r="G18" s="61">
        <v>15.65048129956239</v>
      </c>
      <c r="H18" s="61">
        <v>3547228.2105082404</v>
      </c>
      <c r="I18" s="61">
        <v>5477290.812279535</v>
      </c>
      <c r="J18" s="61">
        <v>547085.4038810675</v>
      </c>
      <c r="K18" s="61">
        <v>5474960.259333744</v>
      </c>
      <c r="L18" s="61">
        <v>33</v>
      </c>
      <c r="M18" s="62"/>
      <c r="N18" s="62"/>
      <c r="O18" s="61"/>
      <c r="P18" s="61"/>
      <c r="Q18" s="61"/>
      <c r="R18" s="61"/>
      <c r="S18" s="61"/>
    </row>
    <row r="19" spans="3:19" ht="12.75">
      <c r="C19" s="61">
        <v>615135.217709796</v>
      </c>
      <c r="D19" s="61">
        <v>1136159.9610427176</v>
      </c>
      <c r="F19" s="61">
        <v>49.398898448506856</v>
      </c>
      <c r="G19" s="61">
        <v>16.340378030190355</v>
      </c>
      <c r="H19" s="61">
        <v>3597323.6290204623</v>
      </c>
      <c r="I19" s="61">
        <v>5474925.418753472</v>
      </c>
      <c r="J19" s="61">
        <v>597160.4214649341</v>
      </c>
      <c r="K19" s="61">
        <v>5472595.8254472045</v>
      </c>
      <c r="L19" s="61">
        <v>33</v>
      </c>
      <c r="M19" s="62"/>
      <c r="N19" s="62"/>
      <c r="O19" s="61"/>
      <c r="P19" s="61"/>
      <c r="Q19" s="61"/>
      <c r="R19" s="61"/>
      <c r="S19" s="61"/>
    </row>
    <row r="20" spans="3:19" ht="12.75">
      <c r="C20" s="61">
        <v>516411.3583705538</v>
      </c>
      <c r="D20" s="61">
        <v>1153744.0384432506</v>
      </c>
      <c r="F20" s="61">
        <v>49.33207406062518</v>
      </c>
      <c r="G20" s="61">
        <v>17.717469854866668</v>
      </c>
      <c r="H20" s="61">
        <v>3697526.3175373394</v>
      </c>
      <c r="I20" s="61">
        <v>5470183.653624081</v>
      </c>
      <c r="J20" s="61">
        <v>697322.3026941027</v>
      </c>
      <c r="K20" s="61">
        <v>5467855.976065335</v>
      </c>
      <c r="L20" s="61">
        <v>33</v>
      </c>
      <c r="M20" s="62"/>
      <c r="N20" s="62"/>
      <c r="O20" s="61"/>
      <c r="P20" s="61"/>
      <c r="Q20" s="61"/>
      <c r="R20" s="61"/>
      <c r="S20" s="61"/>
    </row>
    <row r="21" spans="3:19" ht="12.75">
      <c r="C21" s="61">
        <v>467052.6562938196</v>
      </c>
      <c r="D21" s="61">
        <v>1162545.3124305983</v>
      </c>
      <c r="F21" s="61">
        <v>49.292460294518996</v>
      </c>
      <c r="G21" s="61">
        <v>18.404464849172317</v>
      </c>
      <c r="H21" s="61">
        <v>4311209.247393202</v>
      </c>
      <c r="I21" s="61">
        <v>5465466.272916006</v>
      </c>
      <c r="J21" s="61">
        <v>311163.63565760385</v>
      </c>
      <c r="K21" s="61">
        <v>5463150.292908435</v>
      </c>
      <c r="L21" s="61">
        <v>34</v>
      </c>
      <c r="M21" s="62"/>
      <c r="N21" s="62"/>
      <c r="O21" s="61"/>
      <c r="P21" s="61"/>
      <c r="Q21" s="61"/>
      <c r="R21" s="61"/>
      <c r="S21" s="61"/>
    </row>
    <row r="22" spans="3:19" ht="12.75">
      <c r="C22" s="61">
        <v>853218.702359653</v>
      </c>
      <c r="D22" s="61">
        <v>1043049.132806084</v>
      </c>
      <c r="F22" s="61">
        <v>49.9425948903457</v>
      </c>
      <c r="G22" s="61">
        <v>12.89819944199676</v>
      </c>
      <c r="H22" s="61">
        <v>3349199.204255369</v>
      </c>
      <c r="I22" s="61">
        <v>5536644.047276333</v>
      </c>
      <c r="J22" s="61">
        <v>349137.0324237769</v>
      </c>
      <c r="K22" s="61">
        <v>5534289.312737695</v>
      </c>
      <c r="L22" s="61">
        <v>33</v>
      </c>
      <c r="M22" s="62"/>
      <c r="N22" s="62"/>
      <c r="O22" s="61"/>
      <c r="P22" s="61"/>
      <c r="Q22" s="61"/>
      <c r="R22" s="61"/>
      <c r="S22" s="61"/>
    </row>
    <row r="23" spans="3:19" ht="12.75">
      <c r="C23" s="61">
        <v>803843.2695642215</v>
      </c>
      <c r="D23" s="61">
        <v>1051816.2650340772</v>
      </c>
      <c r="F23" s="61">
        <v>49.93208850681043</v>
      </c>
      <c r="G23" s="61">
        <v>13.596699560454883</v>
      </c>
      <c r="H23" s="61">
        <v>3399306.2293901807</v>
      </c>
      <c r="I23" s="61">
        <v>5534301.64992588</v>
      </c>
      <c r="J23" s="61">
        <v>399223.6556811626</v>
      </c>
      <c r="K23" s="61">
        <v>5531947.87594332</v>
      </c>
      <c r="L23" s="61">
        <v>33</v>
      </c>
      <c r="M23" s="62"/>
      <c r="N23" s="62"/>
      <c r="O23" s="61"/>
      <c r="P23" s="61"/>
      <c r="Q23" s="61"/>
      <c r="R23" s="61"/>
      <c r="S23" s="61"/>
    </row>
    <row r="24" spans="3:19" ht="12.75">
      <c r="C24" s="61">
        <v>803843.2695642215</v>
      </c>
      <c r="D24" s="61">
        <v>1051816.2650340772</v>
      </c>
      <c r="F24" s="61">
        <v>49.93208850681043</v>
      </c>
      <c r="G24" s="61">
        <v>13.596699560454883</v>
      </c>
      <c r="H24" s="61">
        <v>3399306.2293901807</v>
      </c>
      <c r="I24" s="61">
        <v>5534301.64992588</v>
      </c>
      <c r="J24" s="61">
        <v>399223.6556811626</v>
      </c>
      <c r="K24" s="61">
        <v>5531947.87594332</v>
      </c>
      <c r="L24" s="61">
        <v>33</v>
      </c>
      <c r="M24" s="62"/>
      <c r="N24" s="62"/>
      <c r="O24" s="61"/>
      <c r="P24" s="61"/>
      <c r="Q24" s="61"/>
      <c r="R24" s="61"/>
      <c r="S24" s="61"/>
    </row>
    <row r="25" spans="3:19" ht="12.75">
      <c r="C25" s="61"/>
      <c r="D25" s="61"/>
      <c r="F25" s="61"/>
      <c r="G25" s="61"/>
      <c r="H25" s="61"/>
      <c r="I25" s="61"/>
      <c r="J25" s="61"/>
      <c r="K25" s="61"/>
      <c r="L25" s="61"/>
      <c r="M25" s="62"/>
      <c r="N25" s="62"/>
      <c r="O25" s="61"/>
      <c r="P25" s="61"/>
      <c r="Q25" s="61"/>
      <c r="R25" s="61"/>
      <c r="S25" s="61"/>
    </row>
    <row r="26" spans="3:19" ht="12.75">
      <c r="C26" s="61"/>
      <c r="D26" s="61"/>
      <c r="F26" s="61"/>
      <c r="G26" s="61"/>
      <c r="H26" s="61"/>
      <c r="I26" s="61"/>
      <c r="J26" s="61"/>
      <c r="K26" s="61"/>
      <c r="L26" s="61"/>
      <c r="M26" s="62"/>
      <c r="N26" s="62"/>
      <c r="O26" s="61"/>
      <c r="P26" s="61"/>
      <c r="Q26" s="61"/>
      <c r="R26" s="61"/>
      <c r="S26" s="61"/>
    </row>
    <row r="27" spans="3:19" ht="12.75">
      <c r="C27" s="61"/>
      <c r="D27" s="61"/>
      <c r="F27" s="61"/>
      <c r="G27" s="61"/>
      <c r="H27" s="61"/>
      <c r="I27" s="61"/>
      <c r="J27" s="61"/>
      <c r="K27" s="61"/>
      <c r="L27" s="61"/>
      <c r="M27" s="62"/>
      <c r="N27" s="62"/>
      <c r="O27" s="61"/>
      <c r="P27" s="61"/>
      <c r="Q27" s="61"/>
      <c r="R27" s="61"/>
      <c r="S27" s="61"/>
    </row>
    <row r="28" spans="3:19" ht="12.75">
      <c r="C28" s="61"/>
      <c r="D28" s="61"/>
      <c r="F28" s="61"/>
      <c r="G28" s="61"/>
      <c r="H28" s="61"/>
      <c r="I28" s="61"/>
      <c r="J28" s="61"/>
      <c r="K28" s="61"/>
      <c r="L28" s="61"/>
      <c r="M28" s="62"/>
      <c r="N28" s="62"/>
      <c r="O28" s="61"/>
      <c r="P28" s="61"/>
      <c r="Q28" s="61"/>
      <c r="R28" s="61"/>
      <c r="S28" s="61"/>
    </row>
    <row r="29" spans="3:19" ht="12.75">
      <c r="C29" s="61"/>
      <c r="D29" s="61"/>
      <c r="F29" s="61"/>
      <c r="G29" s="61"/>
      <c r="H29" s="61"/>
      <c r="I29" s="61"/>
      <c r="J29" s="61"/>
      <c r="K29" s="61"/>
      <c r="L29" s="61"/>
      <c r="M29" s="62"/>
      <c r="N29" s="62"/>
      <c r="O29" s="61"/>
      <c r="P29" s="61"/>
      <c r="Q29" s="61"/>
      <c r="R29" s="61"/>
      <c r="S29" s="61"/>
    </row>
    <row r="30" spans="3:19" ht="12.75">
      <c r="C30" s="61"/>
      <c r="D30" s="61"/>
      <c r="F30" s="61"/>
      <c r="G30" s="61"/>
      <c r="H30" s="61"/>
      <c r="I30" s="61"/>
      <c r="J30" s="61"/>
      <c r="K30" s="61"/>
      <c r="L30" s="61"/>
      <c r="M30" s="62"/>
      <c r="N30" s="62"/>
      <c r="O30" s="61"/>
      <c r="P30" s="61"/>
      <c r="Q30" s="61"/>
      <c r="R30" s="61"/>
      <c r="S30" s="61"/>
    </row>
    <row r="31" spans="3:19" ht="12.75">
      <c r="C31" s="61"/>
      <c r="D31" s="61"/>
      <c r="F31" s="61"/>
      <c r="G31" s="61"/>
      <c r="H31" s="61"/>
      <c r="I31" s="61"/>
      <c r="J31" s="61"/>
      <c r="K31" s="61"/>
      <c r="L31" s="61"/>
      <c r="M31" s="62"/>
      <c r="N31" s="62"/>
      <c r="O31" s="61"/>
      <c r="P31" s="61"/>
      <c r="Q31" s="61"/>
      <c r="R31" s="61"/>
      <c r="S31" s="61"/>
    </row>
    <row r="32" spans="3:19" ht="12.75">
      <c r="C32" s="61"/>
      <c r="D32" s="61"/>
      <c r="F32" s="61"/>
      <c r="G32" s="61"/>
      <c r="H32" s="61"/>
      <c r="I32" s="61"/>
      <c r="J32" s="61"/>
      <c r="K32" s="61"/>
      <c r="L32" s="61"/>
      <c r="M32" s="62"/>
      <c r="N32" s="62"/>
      <c r="O32" s="61"/>
      <c r="P32" s="61"/>
      <c r="Q32" s="61"/>
      <c r="R32" s="61"/>
      <c r="S32" s="61"/>
    </row>
    <row r="33" spans="3:19" ht="12.75">
      <c r="C33" s="61"/>
      <c r="D33" s="61"/>
      <c r="F33" s="61"/>
      <c r="G33" s="61"/>
      <c r="H33" s="61"/>
      <c r="I33" s="61"/>
      <c r="J33" s="61"/>
      <c r="K33" s="61"/>
      <c r="L33" s="61"/>
      <c r="M33" s="62"/>
      <c r="N33" s="62"/>
      <c r="O33" s="61"/>
      <c r="P33" s="61"/>
      <c r="Q33" s="61"/>
      <c r="R33" s="61"/>
      <c r="S33" s="61"/>
    </row>
    <row r="34" spans="3:19" ht="12.75">
      <c r="C34" s="61"/>
      <c r="D34" s="61"/>
      <c r="F34" s="61"/>
      <c r="G34" s="61"/>
      <c r="H34" s="61"/>
      <c r="I34" s="61"/>
      <c r="J34" s="61"/>
      <c r="K34" s="61"/>
      <c r="L34" s="61"/>
      <c r="M34" s="62"/>
      <c r="N34" s="62"/>
      <c r="O34" s="61"/>
      <c r="P34" s="61"/>
      <c r="Q34" s="61"/>
      <c r="R34" s="61"/>
      <c r="S34" s="61"/>
    </row>
    <row r="35" spans="3:19" ht="12.75">
      <c r="C35" s="61"/>
      <c r="D35" s="61"/>
      <c r="F35" s="61"/>
      <c r="G35" s="61"/>
      <c r="H35" s="61"/>
      <c r="I35" s="61"/>
      <c r="J35" s="61"/>
      <c r="K35" s="61"/>
      <c r="L35" s="61"/>
      <c r="M35" s="62"/>
      <c r="N35" s="62"/>
      <c r="O35" s="61"/>
      <c r="P35" s="61"/>
      <c r="Q35" s="61"/>
      <c r="R35" s="61"/>
      <c r="S35" s="61"/>
    </row>
    <row r="36" spans="3:19" ht="12.75">
      <c r="C36" s="61"/>
      <c r="D36" s="61"/>
      <c r="F36" s="61"/>
      <c r="G36" s="61"/>
      <c r="H36" s="61"/>
      <c r="I36" s="61"/>
      <c r="J36" s="61"/>
      <c r="K36" s="61"/>
      <c r="L36" s="61"/>
      <c r="M36" s="62"/>
      <c r="N36" s="62"/>
      <c r="O36" s="61"/>
      <c r="P36" s="61"/>
      <c r="Q36" s="61"/>
      <c r="R36" s="61"/>
      <c r="S36" s="61"/>
    </row>
    <row r="37" spans="3:19" ht="12.75">
      <c r="C37" s="61"/>
      <c r="D37" s="61"/>
      <c r="F37" s="61"/>
      <c r="G37" s="61"/>
      <c r="H37" s="61"/>
      <c r="I37" s="61"/>
      <c r="J37" s="61"/>
      <c r="K37" s="61"/>
      <c r="L37" s="61"/>
      <c r="M37" s="62"/>
      <c r="N37" s="62"/>
      <c r="O37" s="61"/>
      <c r="P37" s="61"/>
      <c r="Q37" s="61"/>
      <c r="R37" s="61"/>
      <c r="S37" s="61"/>
    </row>
    <row r="38" spans="3:19" ht="12.75">
      <c r="C38" s="61"/>
      <c r="D38" s="61"/>
      <c r="F38" s="61"/>
      <c r="G38" s="61"/>
      <c r="H38" s="61"/>
      <c r="I38" s="61"/>
      <c r="J38" s="61"/>
      <c r="K38" s="61"/>
      <c r="L38" s="61"/>
      <c r="M38" s="62"/>
      <c r="N38" s="62"/>
      <c r="O38" s="61"/>
      <c r="P38" s="61"/>
      <c r="Q38" s="61"/>
      <c r="R38" s="61"/>
      <c r="S38" s="61"/>
    </row>
    <row r="39" spans="3:19" ht="12.75">
      <c r="C39" s="61"/>
      <c r="D39" s="61"/>
      <c r="F39" s="61"/>
      <c r="G39" s="61"/>
      <c r="H39" s="61"/>
      <c r="I39" s="61"/>
      <c r="J39" s="61"/>
      <c r="K39" s="61"/>
      <c r="L39" s="61"/>
      <c r="M39" s="62"/>
      <c r="N39" s="62"/>
      <c r="O39" s="61"/>
      <c r="P39" s="61"/>
      <c r="Q39" s="61"/>
      <c r="R39" s="61"/>
      <c r="S39" s="61"/>
    </row>
    <row r="40" spans="3:19" ht="12.75">
      <c r="C40" s="61"/>
      <c r="D40" s="61"/>
      <c r="F40" s="61"/>
      <c r="G40" s="61"/>
      <c r="H40" s="61"/>
      <c r="I40" s="61"/>
      <c r="J40" s="61"/>
      <c r="K40" s="61"/>
      <c r="L40" s="61"/>
      <c r="M40" s="62"/>
      <c r="N40" s="62"/>
      <c r="O40" s="61"/>
      <c r="P40" s="61"/>
      <c r="Q40" s="61"/>
      <c r="R40" s="61"/>
      <c r="S40" s="61"/>
    </row>
    <row r="41" spans="3:19" ht="12.75">
      <c r="C41" s="61"/>
      <c r="D41" s="61"/>
      <c r="F41" s="61"/>
      <c r="G41" s="61"/>
      <c r="H41" s="61"/>
      <c r="I41" s="61"/>
      <c r="J41" s="61"/>
      <c r="K41" s="61"/>
      <c r="L41" s="61"/>
      <c r="M41" s="62"/>
      <c r="N41" s="62"/>
      <c r="O41" s="61"/>
      <c r="P41" s="61"/>
      <c r="Q41" s="61"/>
      <c r="R41" s="61"/>
      <c r="S41" s="61"/>
    </row>
    <row r="42" spans="3:19" ht="12.75">
      <c r="C42" s="61"/>
      <c r="D42" s="61"/>
      <c r="F42" s="61"/>
      <c r="G42" s="61"/>
      <c r="H42" s="61"/>
      <c r="I42" s="61"/>
      <c r="J42" s="61"/>
      <c r="K42" s="61"/>
      <c r="L42" s="61"/>
      <c r="M42" s="62"/>
      <c r="N42" s="62"/>
      <c r="O42" s="61"/>
      <c r="P42" s="61"/>
      <c r="Q42" s="61"/>
      <c r="R42" s="61"/>
      <c r="S42" s="61"/>
    </row>
    <row r="43" spans="3:19" ht="12.75">
      <c r="C43" s="61"/>
      <c r="D43" s="61"/>
      <c r="F43" s="61"/>
      <c r="G43" s="61"/>
      <c r="H43" s="61"/>
      <c r="I43" s="61"/>
      <c r="J43" s="61"/>
      <c r="K43" s="61"/>
      <c r="L43" s="61"/>
      <c r="M43" s="62"/>
      <c r="N43" s="62"/>
      <c r="O43" s="61"/>
      <c r="P43" s="61"/>
      <c r="Q43" s="61"/>
      <c r="R43" s="61"/>
      <c r="S43" s="61"/>
    </row>
    <row r="44" spans="3:19" ht="12.75">
      <c r="C44" s="61"/>
      <c r="D44" s="61"/>
      <c r="F44" s="61"/>
      <c r="G44" s="61"/>
      <c r="H44" s="61"/>
      <c r="I44" s="61"/>
      <c r="J44" s="61"/>
      <c r="K44" s="61"/>
      <c r="L44" s="61"/>
      <c r="M44" s="62"/>
      <c r="N44" s="62"/>
      <c r="O44" s="61"/>
      <c r="P44" s="61"/>
      <c r="Q44" s="61"/>
      <c r="R44" s="61"/>
      <c r="S44" s="61"/>
    </row>
    <row r="45" spans="3:19" ht="12.75">
      <c r="C45" s="61"/>
      <c r="D45" s="61"/>
      <c r="F45" s="61"/>
      <c r="G45" s="61"/>
      <c r="H45" s="61"/>
      <c r="I45" s="61"/>
      <c r="J45" s="61"/>
      <c r="K45" s="61"/>
      <c r="L45" s="61"/>
      <c r="M45" s="62"/>
      <c r="N45" s="62"/>
      <c r="O45" s="61"/>
      <c r="P45" s="61"/>
      <c r="Q45" s="61"/>
      <c r="R45" s="61"/>
      <c r="S45" s="61"/>
    </row>
    <row r="46" spans="3:19" ht="12.75">
      <c r="C46" s="61"/>
      <c r="D46" s="61"/>
      <c r="F46" s="61"/>
      <c r="G46" s="61"/>
      <c r="H46" s="61"/>
      <c r="I46" s="61"/>
      <c r="J46" s="61"/>
      <c r="K46" s="61"/>
      <c r="L46" s="61"/>
      <c r="M46" s="62"/>
      <c r="N46" s="62"/>
      <c r="O46" s="61"/>
      <c r="P46" s="61"/>
      <c r="Q46" s="61"/>
      <c r="R46" s="61"/>
      <c r="S46" s="61"/>
    </row>
    <row r="47" spans="3:19" ht="12.75">
      <c r="C47" s="61"/>
      <c r="D47" s="61"/>
      <c r="F47" s="61"/>
      <c r="G47" s="61"/>
      <c r="H47" s="61"/>
      <c r="I47" s="61"/>
      <c r="J47" s="61"/>
      <c r="K47" s="61"/>
      <c r="L47" s="61"/>
      <c r="M47" s="62"/>
      <c r="N47" s="62"/>
      <c r="O47" s="61"/>
      <c r="P47" s="61"/>
      <c r="Q47" s="61"/>
      <c r="R47" s="61"/>
      <c r="S47" s="61"/>
    </row>
    <row r="48" spans="3:19" ht="12.75">
      <c r="C48" s="66"/>
      <c r="D48" s="66"/>
      <c r="F48" s="61"/>
      <c r="G48" s="61"/>
      <c r="H48" s="61"/>
      <c r="I48" s="61"/>
      <c r="J48" s="61"/>
      <c r="K48" s="61"/>
      <c r="L48" s="61"/>
      <c r="M48" s="67"/>
      <c r="N48" s="67"/>
      <c r="O48" s="61"/>
      <c r="P48" s="61"/>
      <c r="Q48" s="61"/>
      <c r="R48" s="61"/>
      <c r="S48" s="61"/>
    </row>
    <row r="49" spans="3:19" ht="12.75">
      <c r="C49" s="66"/>
      <c r="D49" s="66"/>
      <c r="F49" s="61"/>
      <c r="G49" s="61"/>
      <c r="H49" s="61"/>
      <c r="I49" s="61"/>
      <c r="J49" s="61"/>
      <c r="K49" s="61"/>
      <c r="L49" s="61"/>
      <c r="M49" s="67"/>
      <c r="N49" s="67"/>
      <c r="O49" s="61"/>
      <c r="P49" s="61"/>
      <c r="Q49" s="61"/>
      <c r="R49" s="61"/>
      <c r="S49" s="61"/>
    </row>
    <row r="50" spans="3:19" ht="12.75">
      <c r="C50" s="66"/>
      <c r="D50" s="66"/>
      <c r="F50" s="61"/>
      <c r="G50" s="61"/>
      <c r="H50" s="61"/>
      <c r="I50" s="61"/>
      <c r="J50" s="61"/>
      <c r="K50" s="61"/>
      <c r="L50" s="61"/>
      <c r="M50" s="67"/>
      <c r="N50" s="67"/>
      <c r="O50" s="61"/>
      <c r="P50" s="61"/>
      <c r="Q50" s="61"/>
      <c r="R50" s="61"/>
      <c r="S50" s="61"/>
    </row>
    <row r="51" spans="3:19" ht="12.75">
      <c r="C51" s="66"/>
      <c r="D51" s="66"/>
      <c r="F51" s="61"/>
      <c r="G51" s="61"/>
      <c r="H51" s="61"/>
      <c r="I51" s="61"/>
      <c r="J51" s="61"/>
      <c r="K51" s="61"/>
      <c r="L51" s="61"/>
      <c r="M51" s="67"/>
      <c r="N51" s="67"/>
      <c r="O51" s="61"/>
      <c r="P51" s="61"/>
      <c r="Q51" s="61"/>
      <c r="R51" s="61"/>
      <c r="S51" s="61"/>
    </row>
    <row r="52" spans="3:19" ht="12.75">
      <c r="C52" s="66"/>
      <c r="D52" s="66"/>
      <c r="F52" s="61"/>
      <c r="G52" s="61"/>
      <c r="H52" s="61"/>
      <c r="I52" s="61"/>
      <c r="J52" s="61"/>
      <c r="K52" s="61"/>
      <c r="L52" s="61"/>
      <c r="M52" s="67"/>
      <c r="N52" s="67"/>
      <c r="O52" s="61"/>
      <c r="P52" s="61"/>
      <c r="Q52" s="61"/>
      <c r="R52" s="61"/>
      <c r="S52" s="61"/>
    </row>
    <row r="53" spans="3:19" ht="12.75">
      <c r="C53" s="66"/>
      <c r="D53" s="66"/>
      <c r="F53" s="61"/>
      <c r="G53" s="61"/>
      <c r="H53" s="61"/>
      <c r="I53" s="61"/>
      <c r="J53" s="61"/>
      <c r="K53" s="61"/>
      <c r="L53" s="61"/>
      <c r="M53" s="67"/>
      <c r="N53" s="67"/>
      <c r="O53" s="61"/>
      <c r="P53" s="61"/>
      <c r="Q53" s="61"/>
      <c r="R53" s="61"/>
      <c r="S53" s="61"/>
    </row>
    <row r="54" spans="3:19" ht="12.75">
      <c r="C54" s="66"/>
      <c r="D54" s="66"/>
      <c r="F54" s="61"/>
      <c r="G54" s="61"/>
      <c r="H54" s="61"/>
      <c r="I54" s="61"/>
      <c r="J54" s="61"/>
      <c r="K54" s="61"/>
      <c r="L54" s="61"/>
      <c r="M54" s="67"/>
      <c r="N54" s="67"/>
      <c r="O54" s="61"/>
      <c r="P54" s="61"/>
      <c r="Q54" s="61"/>
      <c r="R54" s="61"/>
      <c r="S54" s="61"/>
    </row>
    <row r="55" spans="3:19" ht="12.75">
      <c r="C55" s="66"/>
      <c r="D55" s="66"/>
      <c r="F55" s="61"/>
      <c r="G55" s="61"/>
      <c r="H55" s="61"/>
      <c r="I55" s="61"/>
      <c r="J55" s="61"/>
      <c r="K55" s="61"/>
      <c r="L55" s="61"/>
      <c r="M55" s="67"/>
      <c r="N55" s="67"/>
      <c r="O55" s="61"/>
      <c r="P55" s="61"/>
      <c r="Q55" s="61"/>
      <c r="R55" s="61"/>
      <c r="S55" s="61"/>
    </row>
    <row r="56" spans="3:19" ht="12.75">
      <c r="C56" s="66"/>
      <c r="D56" s="66"/>
      <c r="F56" s="61"/>
      <c r="G56" s="61"/>
      <c r="H56" s="61"/>
      <c r="I56" s="61"/>
      <c r="J56" s="61"/>
      <c r="K56" s="61"/>
      <c r="L56" s="61"/>
      <c r="M56" s="67"/>
      <c r="N56" s="67"/>
      <c r="O56" s="61"/>
      <c r="P56" s="61"/>
      <c r="Q56" s="61"/>
      <c r="R56" s="61"/>
      <c r="S56" s="61"/>
    </row>
    <row r="57" spans="3:19" ht="12.75">
      <c r="C57" s="66"/>
      <c r="D57" s="66"/>
      <c r="F57" s="61"/>
      <c r="G57" s="61"/>
      <c r="H57" s="61"/>
      <c r="I57" s="61"/>
      <c r="J57" s="61"/>
      <c r="K57" s="61"/>
      <c r="L57" s="61"/>
      <c r="M57" s="67"/>
      <c r="N57" s="67"/>
      <c r="O57" s="61"/>
      <c r="P57" s="61"/>
      <c r="Q57" s="61"/>
      <c r="R57" s="61"/>
      <c r="S57" s="61"/>
    </row>
    <row r="58" spans="3:19" ht="12.75">
      <c r="C58" s="66"/>
      <c r="D58" s="66"/>
      <c r="F58" s="61"/>
      <c r="G58" s="61"/>
      <c r="H58" s="61"/>
      <c r="I58" s="61"/>
      <c r="J58" s="61"/>
      <c r="K58" s="61"/>
      <c r="L58" s="61"/>
      <c r="M58" s="67"/>
      <c r="N58" s="67"/>
      <c r="O58" s="61"/>
      <c r="P58" s="61"/>
      <c r="Q58" s="61"/>
      <c r="R58" s="61"/>
      <c r="S58" s="61"/>
    </row>
    <row r="59" spans="3:19" ht="12.75">
      <c r="C59" s="66"/>
      <c r="D59" s="66"/>
      <c r="F59" s="61"/>
      <c r="G59" s="61"/>
      <c r="H59" s="61"/>
      <c r="I59" s="61"/>
      <c r="J59" s="61"/>
      <c r="K59" s="61"/>
      <c r="L59" s="61"/>
      <c r="M59" s="67"/>
      <c r="N59" s="67"/>
      <c r="O59" s="61"/>
      <c r="P59" s="61"/>
      <c r="Q59" s="61"/>
      <c r="R59" s="61"/>
      <c r="S59" s="61"/>
    </row>
    <row r="60" spans="3:19" ht="12.75">
      <c r="C60" s="66"/>
      <c r="D60" s="66"/>
      <c r="F60" s="61"/>
      <c r="G60" s="61"/>
      <c r="H60" s="61"/>
      <c r="I60" s="61"/>
      <c r="J60" s="61"/>
      <c r="K60" s="61"/>
      <c r="L60" s="61"/>
      <c r="M60" s="67"/>
      <c r="N60" s="67"/>
      <c r="O60" s="61"/>
      <c r="P60" s="61"/>
      <c r="Q60" s="61"/>
      <c r="R60" s="61"/>
      <c r="S60" s="61"/>
    </row>
    <row r="61" spans="3:19" ht="12.75">
      <c r="C61" s="66"/>
      <c r="D61" s="66"/>
      <c r="F61" s="61"/>
      <c r="G61" s="61"/>
      <c r="H61" s="61"/>
      <c r="I61" s="61"/>
      <c r="J61" s="61"/>
      <c r="K61" s="61"/>
      <c r="L61" s="61"/>
      <c r="M61" s="67"/>
      <c r="N61" s="67"/>
      <c r="O61" s="61"/>
      <c r="P61" s="61"/>
      <c r="Q61" s="61"/>
      <c r="R61" s="61"/>
      <c r="S61" s="61"/>
    </row>
    <row r="62" spans="3:19" ht="12.75">
      <c r="C62" s="66"/>
      <c r="D62" s="66"/>
      <c r="F62" s="61"/>
      <c r="G62" s="61"/>
      <c r="H62" s="61"/>
      <c r="I62" s="61"/>
      <c r="J62" s="61"/>
      <c r="K62" s="61"/>
      <c r="L62" s="61"/>
      <c r="M62" s="67"/>
      <c r="N62" s="67"/>
      <c r="O62" s="61"/>
      <c r="P62" s="61"/>
      <c r="Q62" s="61"/>
      <c r="R62" s="61"/>
      <c r="S62" s="61"/>
    </row>
    <row r="63" spans="3:19" ht="12.75">
      <c r="C63" s="66"/>
      <c r="D63" s="66"/>
      <c r="F63" s="61"/>
      <c r="G63" s="61"/>
      <c r="H63" s="61"/>
      <c r="I63" s="61"/>
      <c r="J63" s="61"/>
      <c r="K63" s="61"/>
      <c r="L63" s="61"/>
      <c r="M63" s="67"/>
      <c r="N63" s="67"/>
      <c r="O63" s="61"/>
      <c r="P63" s="61"/>
      <c r="Q63" s="61"/>
      <c r="R63" s="61"/>
      <c r="S63" s="61"/>
    </row>
    <row r="64" spans="3:19" ht="12.75">
      <c r="C64" s="66"/>
      <c r="D64" s="66"/>
      <c r="F64" s="61"/>
      <c r="G64" s="61"/>
      <c r="H64" s="61"/>
      <c r="I64" s="61"/>
      <c r="J64" s="61"/>
      <c r="K64" s="61"/>
      <c r="L64" s="61"/>
      <c r="M64" s="67"/>
      <c r="N64" s="67"/>
      <c r="O64" s="61"/>
      <c r="P64" s="61"/>
      <c r="Q64" s="61"/>
      <c r="R64" s="61"/>
      <c r="S64" s="61"/>
    </row>
    <row r="65" spans="3:19" ht="12.75">
      <c r="C65" s="66"/>
      <c r="D65" s="66"/>
      <c r="F65" s="61"/>
      <c r="G65" s="61"/>
      <c r="H65" s="61"/>
      <c r="I65" s="61"/>
      <c r="J65" s="61"/>
      <c r="K65" s="61"/>
      <c r="L65" s="61"/>
      <c r="M65" s="67"/>
      <c r="N65" s="67"/>
      <c r="O65" s="61"/>
      <c r="P65" s="61"/>
      <c r="Q65" s="61"/>
      <c r="R65" s="61"/>
      <c r="S65" s="61"/>
    </row>
    <row r="66" spans="3:19" ht="12.75">
      <c r="C66" s="66"/>
      <c r="D66" s="66"/>
      <c r="F66" s="61"/>
      <c r="G66" s="61"/>
      <c r="H66" s="61"/>
      <c r="I66" s="61"/>
      <c r="J66" s="61"/>
      <c r="K66" s="61"/>
      <c r="L66" s="61"/>
      <c r="M66" s="67"/>
      <c r="N66" s="67"/>
      <c r="O66" s="61"/>
      <c r="P66" s="61"/>
      <c r="Q66" s="61"/>
      <c r="R66" s="61"/>
      <c r="S66" s="61"/>
    </row>
    <row r="67" spans="3:19" ht="12.75">
      <c r="C67" s="66"/>
      <c r="D67" s="66"/>
      <c r="F67" s="61"/>
      <c r="G67" s="61"/>
      <c r="H67" s="61"/>
      <c r="I67" s="61"/>
      <c r="J67" s="61"/>
      <c r="K67" s="61"/>
      <c r="L67" s="61"/>
      <c r="M67" s="67"/>
      <c r="N67" s="67"/>
      <c r="O67" s="61"/>
      <c r="P67" s="61"/>
      <c r="Q67" s="61"/>
      <c r="R67" s="61"/>
      <c r="S67" s="61"/>
    </row>
    <row r="68" spans="3:19" ht="12.75">
      <c r="C68" s="66"/>
      <c r="D68" s="66"/>
      <c r="F68" s="61"/>
      <c r="G68" s="61"/>
      <c r="H68" s="61"/>
      <c r="I68" s="61"/>
      <c r="J68" s="61"/>
      <c r="K68" s="61"/>
      <c r="L68" s="61"/>
      <c r="M68" s="67"/>
      <c r="N68" s="67"/>
      <c r="O68" s="61"/>
      <c r="P68" s="61"/>
      <c r="Q68" s="61"/>
      <c r="R68" s="61"/>
      <c r="S68" s="61"/>
    </row>
    <row r="69" spans="3:19" ht="12.75">
      <c r="C69" s="66"/>
      <c r="D69" s="66"/>
      <c r="F69" s="61"/>
      <c r="G69" s="61"/>
      <c r="H69" s="61"/>
      <c r="I69" s="61"/>
      <c r="J69" s="61"/>
      <c r="K69" s="61"/>
      <c r="L69" s="61"/>
      <c r="M69" s="67"/>
      <c r="N69" s="67"/>
      <c r="O69" s="61"/>
      <c r="P69" s="61"/>
      <c r="Q69" s="61"/>
      <c r="R69" s="61"/>
      <c r="S69" s="61"/>
    </row>
    <row r="70" spans="3:19" ht="12.75">
      <c r="C70" s="66"/>
      <c r="D70" s="66"/>
      <c r="F70" s="61"/>
      <c r="G70" s="61"/>
      <c r="H70" s="61"/>
      <c r="I70" s="61"/>
      <c r="J70" s="61"/>
      <c r="K70" s="61"/>
      <c r="L70" s="61"/>
      <c r="M70" s="67"/>
      <c r="N70" s="67"/>
      <c r="O70" s="61"/>
      <c r="P70" s="61"/>
      <c r="Q70" s="61"/>
      <c r="R70" s="61"/>
      <c r="S70" s="61"/>
    </row>
    <row r="71" spans="3:19" ht="12.75">
      <c r="C71" s="66"/>
      <c r="D71" s="66"/>
      <c r="F71" s="61"/>
      <c r="G71" s="61"/>
      <c r="H71" s="61"/>
      <c r="I71" s="61"/>
      <c r="J71" s="61"/>
      <c r="K71" s="61"/>
      <c r="L71" s="61"/>
      <c r="M71" s="67"/>
      <c r="N71" s="67"/>
      <c r="O71" s="61"/>
      <c r="P71" s="61"/>
      <c r="Q71" s="61"/>
      <c r="R71" s="61"/>
      <c r="S71" s="61"/>
    </row>
    <row r="72" spans="3:19" ht="12.75">
      <c r="C72" s="66"/>
      <c r="D72" s="66"/>
      <c r="F72" s="61"/>
      <c r="G72" s="61"/>
      <c r="H72" s="61"/>
      <c r="I72" s="61"/>
      <c r="J72" s="61"/>
      <c r="K72" s="61"/>
      <c r="L72" s="61"/>
      <c r="M72" s="67"/>
      <c r="N72" s="67"/>
      <c r="O72" s="61"/>
      <c r="P72" s="61"/>
      <c r="Q72" s="61"/>
      <c r="R72" s="61"/>
      <c r="S72" s="61"/>
    </row>
    <row r="73" spans="3:19" ht="12.75">
      <c r="C73" s="66"/>
      <c r="D73" s="66"/>
      <c r="F73" s="61"/>
      <c r="G73" s="61"/>
      <c r="H73" s="61"/>
      <c r="I73" s="61"/>
      <c r="J73" s="61"/>
      <c r="K73" s="61"/>
      <c r="L73" s="61"/>
      <c r="M73" s="67"/>
      <c r="N73" s="67"/>
      <c r="O73" s="61"/>
      <c r="P73" s="61"/>
      <c r="Q73" s="61"/>
      <c r="R73" s="61"/>
      <c r="S73" s="61"/>
    </row>
    <row r="74" spans="3:19" ht="12.75">
      <c r="C74" s="66"/>
      <c r="D74" s="66"/>
      <c r="F74" s="61"/>
      <c r="G74" s="61"/>
      <c r="H74" s="61"/>
      <c r="I74" s="61"/>
      <c r="J74" s="61"/>
      <c r="K74" s="61"/>
      <c r="L74" s="61"/>
      <c r="M74" s="67"/>
      <c r="N74" s="67"/>
      <c r="O74" s="61"/>
      <c r="P74" s="61"/>
      <c r="Q74" s="61"/>
      <c r="R74" s="61"/>
      <c r="S74" s="61"/>
    </row>
    <row r="75" spans="3:19" ht="12.75">
      <c r="C75" s="66"/>
      <c r="D75" s="66"/>
      <c r="F75" s="61"/>
      <c r="G75" s="61"/>
      <c r="H75" s="61"/>
      <c r="I75" s="61"/>
      <c r="J75" s="61"/>
      <c r="K75" s="61"/>
      <c r="L75" s="61"/>
      <c r="M75" s="67"/>
      <c r="N75" s="67"/>
      <c r="O75" s="61"/>
      <c r="P75" s="61"/>
      <c r="Q75" s="61"/>
      <c r="R75" s="61"/>
      <c r="S75" s="61"/>
    </row>
    <row r="76" spans="3:19" ht="12.75">
      <c r="C76" s="66"/>
      <c r="D76" s="66"/>
      <c r="F76" s="61"/>
      <c r="G76" s="61"/>
      <c r="H76" s="61"/>
      <c r="I76" s="61"/>
      <c r="J76" s="61"/>
      <c r="K76" s="61"/>
      <c r="L76" s="61"/>
      <c r="M76" s="67"/>
      <c r="N76" s="67"/>
      <c r="O76" s="61"/>
      <c r="P76" s="61"/>
      <c r="Q76" s="61"/>
      <c r="R76" s="61"/>
      <c r="S76" s="61"/>
    </row>
    <row r="77" spans="3:19" ht="12.75">
      <c r="C77" s="66"/>
      <c r="D77" s="66"/>
      <c r="F77" s="61"/>
      <c r="G77" s="61"/>
      <c r="H77" s="61"/>
      <c r="I77" s="61"/>
      <c r="J77" s="61"/>
      <c r="K77" s="61"/>
      <c r="L77" s="61"/>
      <c r="M77" s="67"/>
      <c r="N77" s="67"/>
      <c r="O77" s="61"/>
      <c r="P77" s="61"/>
      <c r="Q77" s="61"/>
      <c r="R77" s="61"/>
      <c r="S77" s="61"/>
    </row>
    <row r="78" spans="3:19" ht="12.75">
      <c r="C78" s="66"/>
      <c r="D78" s="66"/>
      <c r="F78" s="61"/>
      <c r="G78" s="61"/>
      <c r="H78" s="61"/>
      <c r="I78" s="61"/>
      <c r="J78" s="61"/>
      <c r="K78" s="61"/>
      <c r="L78" s="61"/>
      <c r="M78" s="67"/>
      <c r="N78" s="67"/>
      <c r="O78" s="61"/>
      <c r="P78" s="61"/>
      <c r="Q78" s="61"/>
      <c r="R78" s="61"/>
      <c r="S78" s="61"/>
    </row>
    <row r="79" spans="3:19" ht="12.75">
      <c r="C79" s="66"/>
      <c r="D79" s="66"/>
      <c r="F79" s="61"/>
      <c r="G79" s="61"/>
      <c r="H79" s="61"/>
      <c r="I79" s="61"/>
      <c r="J79" s="61"/>
      <c r="K79" s="61"/>
      <c r="L79" s="61"/>
      <c r="M79" s="67"/>
      <c r="N79" s="67"/>
      <c r="O79" s="61"/>
      <c r="P79" s="61"/>
      <c r="Q79" s="61"/>
      <c r="R79" s="61"/>
      <c r="S79" s="61"/>
    </row>
    <row r="80" spans="3:19" ht="12.75">
      <c r="C80" s="66"/>
      <c r="D80" s="66"/>
      <c r="F80" s="61"/>
      <c r="G80" s="61"/>
      <c r="H80" s="61"/>
      <c r="I80" s="61"/>
      <c r="J80" s="61"/>
      <c r="K80" s="61"/>
      <c r="L80" s="61"/>
      <c r="M80" s="67"/>
      <c r="N80" s="67"/>
      <c r="O80" s="61"/>
      <c r="P80" s="61"/>
      <c r="Q80" s="61"/>
      <c r="R80" s="61"/>
      <c r="S80" s="61"/>
    </row>
    <row r="81" spans="3:19" ht="12.75">
      <c r="C81" s="66"/>
      <c r="D81" s="66"/>
      <c r="F81" s="61"/>
      <c r="G81" s="61"/>
      <c r="H81" s="61"/>
      <c r="I81" s="61"/>
      <c r="J81" s="61"/>
      <c r="K81" s="61"/>
      <c r="L81" s="61"/>
      <c r="M81" s="67"/>
      <c r="N81" s="67"/>
      <c r="O81" s="61"/>
      <c r="P81" s="61"/>
      <c r="Q81" s="61"/>
      <c r="R81" s="61"/>
      <c r="S81" s="61"/>
    </row>
    <row r="82" spans="3:19" ht="12.75">
      <c r="C82" s="66"/>
      <c r="D82" s="66"/>
      <c r="F82" s="61"/>
      <c r="G82" s="61"/>
      <c r="H82" s="61"/>
      <c r="I82" s="61"/>
      <c r="J82" s="61"/>
      <c r="K82" s="61"/>
      <c r="L82" s="61"/>
      <c r="M82" s="67"/>
      <c r="N82" s="67"/>
      <c r="O82" s="61"/>
      <c r="P82" s="61"/>
      <c r="Q82" s="61"/>
      <c r="R82" s="61"/>
      <c r="S82" s="61"/>
    </row>
    <row r="83" spans="3:19" ht="12.75">
      <c r="C83" s="66"/>
      <c r="D83" s="66"/>
      <c r="F83" s="61"/>
      <c r="G83" s="61"/>
      <c r="H83" s="61"/>
      <c r="I83" s="61"/>
      <c r="J83" s="61"/>
      <c r="K83" s="61"/>
      <c r="L83" s="61"/>
      <c r="M83" s="67"/>
      <c r="N83" s="67"/>
      <c r="O83" s="61"/>
      <c r="P83" s="61"/>
      <c r="Q83" s="61"/>
      <c r="R83" s="61"/>
      <c r="S83" s="61"/>
    </row>
    <row r="84" spans="3:19" ht="12.75">
      <c r="C84" s="66"/>
      <c r="D84" s="66"/>
      <c r="F84" s="61"/>
      <c r="G84" s="61"/>
      <c r="H84" s="61"/>
      <c r="I84" s="61"/>
      <c r="J84" s="61"/>
      <c r="K84" s="61"/>
      <c r="L84" s="61"/>
      <c r="M84" s="67"/>
      <c r="N84" s="67"/>
      <c r="O84" s="61"/>
      <c r="P84" s="61"/>
      <c r="Q84" s="61"/>
      <c r="R84" s="61"/>
      <c r="S84" s="61"/>
    </row>
    <row r="85" spans="3:19" ht="12.75">
      <c r="C85" s="66"/>
      <c r="D85" s="66"/>
      <c r="F85" s="61"/>
      <c r="G85" s="61"/>
      <c r="H85" s="61"/>
      <c r="I85" s="61"/>
      <c r="J85" s="61"/>
      <c r="K85" s="61"/>
      <c r="L85" s="61"/>
      <c r="M85" s="67"/>
      <c r="N85" s="67"/>
      <c r="O85" s="61"/>
      <c r="P85" s="61"/>
      <c r="Q85" s="61"/>
      <c r="R85" s="61"/>
      <c r="S85" s="61"/>
    </row>
    <row r="86" spans="3:19" ht="12.75">
      <c r="C86" s="66"/>
      <c r="D86" s="66"/>
      <c r="F86" s="61"/>
      <c r="G86" s="61"/>
      <c r="H86" s="61"/>
      <c r="I86" s="61"/>
      <c r="J86" s="61"/>
      <c r="K86" s="61"/>
      <c r="L86" s="61"/>
      <c r="M86" s="67"/>
      <c r="N86" s="67"/>
      <c r="O86" s="61"/>
      <c r="P86" s="61"/>
      <c r="Q86" s="61"/>
      <c r="R86" s="61"/>
      <c r="S86" s="61"/>
    </row>
    <row r="87" spans="3:19" ht="12.75">
      <c r="C87" s="66"/>
      <c r="D87" s="66"/>
      <c r="F87" s="61"/>
      <c r="G87" s="61"/>
      <c r="H87" s="61"/>
      <c r="I87" s="61"/>
      <c r="J87" s="61"/>
      <c r="K87" s="61"/>
      <c r="L87" s="61"/>
      <c r="M87" s="67"/>
      <c r="N87" s="67"/>
      <c r="O87" s="61"/>
      <c r="P87" s="61"/>
      <c r="Q87" s="61"/>
      <c r="R87" s="61"/>
      <c r="S87" s="61"/>
    </row>
    <row r="88" spans="3:19" ht="12.75">
      <c r="C88" s="66"/>
      <c r="D88" s="66"/>
      <c r="F88" s="61"/>
      <c r="G88" s="61"/>
      <c r="H88" s="61"/>
      <c r="I88" s="61"/>
      <c r="J88" s="61"/>
      <c r="K88" s="61"/>
      <c r="L88" s="61"/>
      <c r="M88" s="67"/>
      <c r="N88" s="67"/>
      <c r="O88" s="61"/>
      <c r="P88" s="61"/>
      <c r="Q88" s="61"/>
      <c r="R88" s="61"/>
      <c r="S88" s="61"/>
    </row>
    <row r="89" spans="3:19" ht="12.75">
      <c r="C89" s="66"/>
      <c r="D89" s="66"/>
      <c r="F89" s="61"/>
      <c r="G89" s="61"/>
      <c r="H89" s="61"/>
      <c r="I89" s="61"/>
      <c r="J89" s="61"/>
      <c r="K89" s="61"/>
      <c r="L89" s="61"/>
      <c r="M89" s="67"/>
      <c r="N89" s="67"/>
      <c r="O89" s="61"/>
      <c r="P89" s="61"/>
      <c r="Q89" s="61"/>
      <c r="R89" s="61"/>
      <c r="S89" s="61"/>
    </row>
    <row r="90" spans="3:19" ht="12.75">
      <c r="C90" s="66"/>
      <c r="D90" s="66"/>
      <c r="F90" s="61"/>
      <c r="G90" s="61"/>
      <c r="H90" s="61"/>
      <c r="I90" s="61"/>
      <c r="J90" s="61"/>
      <c r="K90" s="61"/>
      <c r="L90" s="61"/>
      <c r="M90" s="67"/>
      <c r="N90" s="67"/>
      <c r="O90" s="61"/>
      <c r="P90" s="61"/>
      <c r="Q90" s="61"/>
      <c r="R90" s="61"/>
      <c r="S90" s="61"/>
    </row>
    <row r="91" spans="3:19" ht="12.75">
      <c r="C91" s="66"/>
      <c r="D91" s="66"/>
      <c r="F91" s="61"/>
      <c r="G91" s="61"/>
      <c r="H91" s="61"/>
      <c r="I91" s="61"/>
      <c r="J91" s="61"/>
      <c r="K91" s="61"/>
      <c r="L91" s="61"/>
      <c r="M91" s="67"/>
      <c r="N91" s="67"/>
      <c r="O91" s="61"/>
      <c r="P91" s="61"/>
      <c r="Q91" s="61"/>
      <c r="R91" s="61"/>
      <c r="S91" s="61"/>
    </row>
    <row r="92" spans="3:19" ht="12.75">
      <c r="C92" s="66"/>
      <c r="D92" s="66"/>
      <c r="F92" s="61"/>
      <c r="G92" s="61"/>
      <c r="H92" s="61"/>
      <c r="I92" s="61"/>
      <c r="J92" s="61"/>
      <c r="K92" s="61"/>
      <c r="L92" s="61"/>
      <c r="M92" s="67"/>
      <c r="N92" s="67"/>
      <c r="O92" s="61"/>
      <c r="P92" s="61"/>
      <c r="Q92" s="61"/>
      <c r="R92" s="61"/>
      <c r="S92" s="61"/>
    </row>
    <row r="93" spans="3:19" ht="12.75">
      <c r="C93" s="66"/>
      <c r="D93" s="66"/>
      <c r="F93" s="61"/>
      <c r="G93" s="61"/>
      <c r="H93" s="61"/>
      <c r="I93" s="61"/>
      <c r="J93" s="61"/>
      <c r="K93" s="61"/>
      <c r="L93" s="61"/>
      <c r="M93" s="67"/>
      <c r="N93" s="67"/>
      <c r="O93" s="61"/>
      <c r="P93" s="61"/>
      <c r="Q93" s="61"/>
      <c r="R93" s="61"/>
      <c r="S93" s="61"/>
    </row>
    <row r="94" spans="3:19" ht="12.75">
      <c r="C94" s="66"/>
      <c r="D94" s="66"/>
      <c r="F94" s="61"/>
      <c r="G94" s="61"/>
      <c r="H94" s="61"/>
      <c r="I94" s="61"/>
      <c r="J94" s="61"/>
      <c r="K94" s="61"/>
      <c r="L94" s="61"/>
      <c r="M94" s="67"/>
      <c r="N94" s="67"/>
      <c r="O94" s="61"/>
      <c r="P94" s="61"/>
      <c r="Q94" s="61"/>
      <c r="R94" s="61"/>
      <c r="S94" s="61"/>
    </row>
    <row r="95" spans="3:19" ht="12.75">
      <c r="C95" s="66"/>
      <c r="D95" s="66"/>
      <c r="F95" s="61"/>
      <c r="G95" s="61"/>
      <c r="H95" s="61"/>
      <c r="I95" s="61"/>
      <c r="J95" s="61"/>
      <c r="K95" s="61"/>
      <c r="L95" s="61"/>
      <c r="M95" s="67"/>
      <c r="N95" s="67"/>
      <c r="O95" s="61"/>
      <c r="P95" s="61"/>
      <c r="Q95" s="61"/>
      <c r="R95" s="61"/>
      <c r="S95" s="61"/>
    </row>
    <row r="96" spans="3:19" ht="12.75">
      <c r="C96" s="66"/>
      <c r="D96" s="66"/>
      <c r="F96" s="61"/>
      <c r="G96" s="61"/>
      <c r="H96" s="61"/>
      <c r="I96" s="61"/>
      <c r="J96" s="61"/>
      <c r="K96" s="61"/>
      <c r="L96" s="61"/>
      <c r="M96" s="67"/>
      <c r="N96" s="67"/>
      <c r="O96" s="61"/>
      <c r="P96" s="61"/>
      <c r="Q96" s="61"/>
      <c r="R96" s="61"/>
      <c r="S96" s="61"/>
    </row>
    <row r="97" spans="3:19" ht="12.75">
      <c r="C97" s="66"/>
      <c r="D97" s="66"/>
      <c r="F97" s="61"/>
      <c r="G97" s="61"/>
      <c r="H97" s="61"/>
      <c r="I97" s="61"/>
      <c r="J97" s="61"/>
      <c r="K97" s="61"/>
      <c r="L97" s="61"/>
      <c r="M97" s="67"/>
      <c r="N97" s="67"/>
      <c r="O97" s="61"/>
      <c r="P97" s="61"/>
      <c r="Q97" s="61"/>
      <c r="R97" s="61"/>
      <c r="S97" s="61"/>
    </row>
    <row r="98" spans="3:19" ht="12.75">
      <c r="C98" s="66"/>
      <c r="D98" s="66"/>
      <c r="F98" s="61"/>
      <c r="G98" s="61"/>
      <c r="H98" s="61"/>
      <c r="I98" s="61"/>
      <c r="J98" s="61"/>
      <c r="K98" s="61"/>
      <c r="L98" s="61"/>
      <c r="M98" s="67"/>
      <c r="N98" s="67"/>
      <c r="O98" s="61"/>
      <c r="P98" s="61"/>
      <c r="Q98" s="61"/>
      <c r="R98" s="61"/>
      <c r="S98" s="61"/>
    </row>
    <row r="99" spans="3:19" ht="12.75">
      <c r="C99" s="66"/>
      <c r="D99" s="66"/>
      <c r="F99" s="61"/>
      <c r="G99" s="61"/>
      <c r="H99" s="61"/>
      <c r="I99" s="61"/>
      <c r="J99" s="61"/>
      <c r="K99" s="61"/>
      <c r="L99" s="61"/>
      <c r="M99" s="67"/>
      <c r="N99" s="67"/>
      <c r="O99" s="61"/>
      <c r="P99" s="61"/>
      <c r="Q99" s="61"/>
      <c r="R99" s="61"/>
      <c r="S99" s="61"/>
    </row>
    <row r="100" spans="3:19" ht="12.75">
      <c r="C100" s="66"/>
      <c r="D100" s="66"/>
      <c r="F100" s="61"/>
      <c r="G100" s="61"/>
      <c r="H100" s="61"/>
      <c r="I100" s="61"/>
      <c r="J100" s="61"/>
      <c r="K100" s="61"/>
      <c r="L100" s="61"/>
      <c r="M100" s="67"/>
      <c r="N100" s="67"/>
      <c r="O100" s="61"/>
      <c r="P100" s="61"/>
      <c r="Q100" s="61"/>
      <c r="R100" s="61"/>
      <c r="S100" s="61"/>
    </row>
    <row r="101" spans="3:19" ht="12.75">
      <c r="C101" s="66"/>
      <c r="D101" s="66"/>
      <c r="F101" s="61"/>
      <c r="G101" s="61"/>
      <c r="H101" s="61"/>
      <c r="I101" s="61"/>
      <c r="J101" s="61"/>
      <c r="K101" s="61"/>
      <c r="L101" s="61"/>
      <c r="M101" s="67"/>
      <c r="N101" s="67"/>
      <c r="O101" s="61"/>
      <c r="P101" s="61"/>
      <c r="Q101" s="61"/>
      <c r="R101" s="61"/>
      <c r="S101" s="61"/>
    </row>
    <row r="102" spans="3:19" ht="12.75">
      <c r="C102" s="66"/>
      <c r="D102" s="66"/>
      <c r="F102" s="61"/>
      <c r="G102" s="61"/>
      <c r="H102" s="61"/>
      <c r="I102" s="61"/>
      <c r="J102" s="61"/>
      <c r="K102" s="61"/>
      <c r="L102" s="61"/>
      <c r="M102" s="67"/>
      <c r="N102" s="67"/>
      <c r="O102" s="61"/>
      <c r="P102" s="61"/>
      <c r="Q102" s="61"/>
      <c r="R102" s="61"/>
      <c r="S102" s="61"/>
    </row>
    <row r="103" spans="3:19" ht="12.75">
      <c r="C103" s="66"/>
      <c r="D103" s="66"/>
      <c r="F103" s="61"/>
      <c r="G103" s="61"/>
      <c r="H103" s="61"/>
      <c r="I103" s="61"/>
      <c r="J103" s="61"/>
      <c r="K103" s="61"/>
      <c r="L103" s="61"/>
      <c r="M103" s="67"/>
      <c r="N103" s="67"/>
      <c r="O103" s="61"/>
      <c r="P103" s="61"/>
      <c r="Q103" s="61"/>
      <c r="R103" s="61"/>
      <c r="S103" s="61"/>
    </row>
    <row r="104" spans="3:19" ht="12.75">
      <c r="C104" s="66"/>
      <c r="D104" s="66"/>
      <c r="F104" s="61"/>
      <c r="G104" s="61"/>
      <c r="H104" s="61"/>
      <c r="I104" s="61"/>
      <c r="J104" s="61"/>
      <c r="K104" s="61"/>
      <c r="L104" s="61"/>
      <c r="M104" s="67"/>
      <c r="N104" s="67"/>
      <c r="O104" s="61"/>
      <c r="P104" s="61"/>
      <c r="Q104" s="61"/>
      <c r="R104" s="61"/>
      <c r="S104" s="61"/>
    </row>
    <row r="105" spans="3:19" ht="12.75">
      <c r="C105" s="66"/>
      <c r="D105" s="66"/>
      <c r="F105" s="61"/>
      <c r="G105" s="61"/>
      <c r="H105" s="61"/>
      <c r="I105" s="61"/>
      <c r="J105" s="61"/>
      <c r="K105" s="61"/>
      <c r="L105" s="61"/>
      <c r="M105" s="67"/>
      <c r="N105" s="67"/>
      <c r="O105" s="61"/>
      <c r="P105" s="61"/>
      <c r="Q105" s="61"/>
      <c r="R105" s="61"/>
      <c r="S105" s="61"/>
    </row>
    <row r="106" spans="3:19" ht="12.75">
      <c r="C106" s="66"/>
      <c r="D106" s="66"/>
      <c r="F106" s="61"/>
      <c r="G106" s="61"/>
      <c r="H106" s="61"/>
      <c r="I106" s="61"/>
      <c r="J106" s="61"/>
      <c r="K106" s="61"/>
      <c r="L106" s="61"/>
      <c r="M106" s="67"/>
      <c r="N106" s="67"/>
      <c r="O106" s="61"/>
      <c r="P106" s="61"/>
      <c r="Q106" s="61"/>
      <c r="R106" s="61"/>
      <c r="S106" s="61"/>
    </row>
    <row r="107" spans="3:19" ht="12.75">
      <c r="C107" s="66"/>
      <c r="D107" s="66"/>
      <c r="F107" s="61"/>
      <c r="G107" s="61"/>
      <c r="H107" s="61"/>
      <c r="I107" s="61"/>
      <c r="J107" s="61"/>
      <c r="K107" s="61"/>
      <c r="L107" s="61"/>
      <c r="M107" s="67"/>
      <c r="N107" s="67"/>
      <c r="O107" s="61"/>
      <c r="P107" s="61"/>
      <c r="Q107" s="61"/>
      <c r="R107" s="61"/>
      <c r="S107" s="61"/>
    </row>
    <row r="108" spans="3:19" ht="12.75">
      <c r="C108" s="66"/>
      <c r="D108" s="66"/>
      <c r="F108" s="61"/>
      <c r="G108" s="61"/>
      <c r="H108" s="61"/>
      <c r="I108" s="61"/>
      <c r="J108" s="61"/>
      <c r="K108" s="61"/>
      <c r="L108" s="61"/>
      <c r="M108" s="67"/>
      <c r="N108" s="67"/>
      <c r="O108" s="61"/>
      <c r="P108" s="61"/>
      <c r="Q108" s="61"/>
      <c r="R108" s="61"/>
      <c r="S108" s="61"/>
    </row>
    <row r="109" spans="3:19" ht="12.75">
      <c r="C109" s="66"/>
      <c r="D109" s="66"/>
      <c r="F109" s="61"/>
      <c r="G109" s="61"/>
      <c r="H109" s="61"/>
      <c r="I109" s="61"/>
      <c r="J109" s="61"/>
      <c r="K109" s="61"/>
      <c r="L109" s="61"/>
      <c r="M109" s="67"/>
      <c r="N109" s="67"/>
      <c r="O109" s="61"/>
      <c r="P109" s="61"/>
      <c r="Q109" s="61"/>
      <c r="R109" s="61"/>
      <c r="S109" s="61"/>
    </row>
    <row r="110" spans="3:19" ht="12.75">
      <c r="C110" s="66"/>
      <c r="D110" s="66"/>
      <c r="F110" s="61"/>
      <c r="G110" s="61"/>
      <c r="H110" s="61"/>
      <c r="I110" s="61"/>
      <c r="J110" s="61"/>
      <c r="K110" s="61"/>
      <c r="L110" s="61"/>
      <c r="M110" s="67"/>
      <c r="N110" s="67"/>
      <c r="O110" s="61"/>
      <c r="P110" s="61"/>
      <c r="Q110" s="61"/>
      <c r="R110" s="61"/>
      <c r="S110" s="61"/>
    </row>
    <row r="111" spans="3:19" ht="12.75">
      <c r="C111" s="66"/>
      <c r="D111" s="66"/>
      <c r="F111" s="61"/>
      <c r="G111" s="61"/>
      <c r="H111" s="61"/>
      <c r="I111" s="61"/>
      <c r="J111" s="61"/>
      <c r="K111" s="61"/>
      <c r="L111" s="61"/>
      <c r="M111" s="67"/>
      <c r="N111" s="67"/>
      <c r="O111" s="61"/>
      <c r="P111" s="61"/>
      <c r="Q111" s="61"/>
      <c r="R111" s="61"/>
      <c r="S111" s="61"/>
    </row>
    <row r="112" spans="3:19" ht="12.75">
      <c r="C112" s="66"/>
      <c r="D112" s="66"/>
      <c r="F112" s="61"/>
      <c r="G112" s="61"/>
      <c r="H112" s="61"/>
      <c r="I112" s="61"/>
      <c r="J112" s="61"/>
      <c r="K112" s="61"/>
      <c r="L112" s="61"/>
      <c r="M112" s="67"/>
      <c r="N112" s="67"/>
      <c r="O112" s="61"/>
      <c r="P112" s="61"/>
      <c r="Q112" s="61"/>
      <c r="R112" s="61"/>
      <c r="S112" s="61"/>
    </row>
    <row r="113" spans="3:19" ht="12.75">
      <c r="C113" s="66"/>
      <c r="D113" s="66"/>
      <c r="F113" s="61"/>
      <c r="G113" s="61"/>
      <c r="H113" s="61"/>
      <c r="I113" s="61"/>
      <c r="J113" s="61"/>
      <c r="K113" s="61"/>
      <c r="L113" s="61"/>
      <c r="M113" s="67"/>
      <c r="N113" s="67"/>
      <c r="O113" s="61"/>
      <c r="P113" s="61"/>
      <c r="Q113" s="61"/>
      <c r="R113" s="61"/>
      <c r="S113" s="61"/>
    </row>
    <row r="114" spans="3:19" ht="12.75">
      <c r="C114" s="66"/>
      <c r="D114" s="66"/>
      <c r="F114" s="61"/>
      <c r="G114" s="61"/>
      <c r="H114" s="61"/>
      <c r="I114" s="61"/>
      <c r="J114" s="61"/>
      <c r="K114" s="61"/>
      <c r="L114" s="61"/>
      <c r="M114" s="67"/>
      <c r="N114" s="67"/>
      <c r="O114" s="61"/>
      <c r="P114" s="61"/>
      <c r="Q114" s="61"/>
      <c r="R114" s="61"/>
      <c r="S114" s="61"/>
    </row>
    <row r="115" spans="3:19" ht="12.75">
      <c r="C115" s="66"/>
      <c r="D115" s="66"/>
      <c r="F115" s="61"/>
      <c r="G115" s="61"/>
      <c r="H115" s="61"/>
      <c r="I115" s="61"/>
      <c r="J115" s="61"/>
      <c r="K115" s="61"/>
      <c r="L115" s="61"/>
      <c r="M115" s="67"/>
      <c r="N115" s="67"/>
      <c r="O115" s="61"/>
      <c r="P115" s="61"/>
      <c r="Q115" s="61"/>
      <c r="R115" s="61"/>
      <c r="S115" s="61"/>
    </row>
    <row r="116" spans="3:19" ht="12.75">
      <c r="C116" s="66"/>
      <c r="D116" s="66"/>
      <c r="F116" s="61"/>
      <c r="G116" s="61"/>
      <c r="H116" s="61"/>
      <c r="I116" s="61"/>
      <c r="J116" s="61"/>
      <c r="K116" s="61"/>
      <c r="L116" s="61"/>
      <c r="M116" s="67"/>
      <c r="N116" s="67"/>
      <c r="O116" s="61"/>
      <c r="P116" s="61"/>
      <c r="Q116" s="61"/>
      <c r="R116" s="61"/>
      <c r="S116" s="61"/>
    </row>
    <row r="117" spans="3:19" ht="12.75">
      <c r="C117" s="66"/>
      <c r="D117" s="66"/>
      <c r="F117" s="61"/>
      <c r="G117" s="61"/>
      <c r="H117" s="61"/>
      <c r="I117" s="61"/>
      <c r="J117" s="61"/>
      <c r="K117" s="61"/>
      <c r="L117" s="61"/>
      <c r="M117" s="67"/>
      <c r="N117" s="67"/>
      <c r="O117" s="61"/>
      <c r="P117" s="61"/>
      <c r="Q117" s="61"/>
      <c r="R117" s="61"/>
      <c r="S117" s="61"/>
    </row>
    <row r="118" spans="3:19" ht="12.75">
      <c r="C118" s="66"/>
      <c r="D118" s="66"/>
      <c r="F118" s="61"/>
      <c r="G118" s="61"/>
      <c r="H118" s="61"/>
      <c r="I118" s="61"/>
      <c r="J118" s="61"/>
      <c r="K118" s="61"/>
      <c r="L118" s="61"/>
      <c r="M118" s="67"/>
      <c r="N118" s="67"/>
      <c r="O118" s="61"/>
      <c r="P118" s="61"/>
      <c r="Q118" s="61"/>
      <c r="R118" s="61"/>
      <c r="S118" s="61"/>
    </row>
    <row r="119" spans="3:19" ht="12.75">
      <c r="C119" s="66"/>
      <c r="D119" s="66"/>
      <c r="F119" s="61"/>
      <c r="G119" s="61"/>
      <c r="H119" s="61"/>
      <c r="I119" s="61"/>
      <c r="J119" s="61"/>
      <c r="K119" s="61"/>
      <c r="L119" s="61"/>
      <c r="M119" s="67"/>
      <c r="N119" s="67"/>
      <c r="O119" s="61"/>
      <c r="P119" s="61"/>
      <c r="Q119" s="61"/>
      <c r="R119" s="61"/>
      <c r="S119" s="61"/>
    </row>
    <row r="120" spans="3:19" ht="12.75">
      <c r="C120" s="66"/>
      <c r="D120" s="66"/>
      <c r="F120" s="61"/>
      <c r="G120" s="61"/>
      <c r="H120" s="61"/>
      <c r="I120" s="61"/>
      <c r="J120" s="61"/>
      <c r="K120" s="61"/>
      <c r="L120" s="61"/>
      <c r="M120" s="67"/>
      <c r="N120" s="67"/>
      <c r="O120" s="61"/>
      <c r="P120" s="61"/>
      <c r="Q120" s="61"/>
      <c r="R120" s="61"/>
      <c r="S120" s="61"/>
    </row>
    <row r="121" spans="3:19" ht="12.75">
      <c r="C121" s="66"/>
      <c r="D121" s="66"/>
      <c r="F121" s="61"/>
      <c r="G121" s="61"/>
      <c r="H121" s="61"/>
      <c r="I121" s="61"/>
      <c r="J121" s="61"/>
      <c r="K121" s="61"/>
      <c r="L121" s="61"/>
      <c r="M121" s="67"/>
      <c r="N121" s="67"/>
      <c r="O121" s="61"/>
      <c r="P121" s="61"/>
      <c r="Q121" s="61"/>
      <c r="R121" s="61"/>
      <c r="S121" s="61"/>
    </row>
    <row r="122" spans="3:19" ht="12.75">
      <c r="C122" s="66"/>
      <c r="D122" s="66"/>
      <c r="F122" s="61"/>
      <c r="G122" s="61"/>
      <c r="H122" s="61"/>
      <c r="I122" s="61"/>
      <c r="J122" s="61"/>
      <c r="K122" s="61"/>
      <c r="L122" s="61"/>
      <c r="M122" s="67"/>
      <c r="N122" s="67"/>
      <c r="O122" s="61"/>
      <c r="P122" s="61"/>
      <c r="Q122" s="61"/>
      <c r="R122" s="61"/>
      <c r="S122" s="61"/>
    </row>
    <row r="123" spans="3:19" ht="12.75">
      <c r="C123" s="66"/>
      <c r="D123" s="66"/>
      <c r="F123" s="61"/>
      <c r="G123" s="61"/>
      <c r="H123" s="61"/>
      <c r="I123" s="61"/>
      <c r="J123" s="61"/>
      <c r="K123" s="61"/>
      <c r="L123" s="61"/>
      <c r="M123" s="67"/>
      <c r="N123" s="67"/>
      <c r="O123" s="61"/>
      <c r="P123" s="61"/>
      <c r="Q123" s="61"/>
      <c r="R123" s="61"/>
      <c r="S123" s="61"/>
    </row>
    <row r="124" spans="3:19" ht="12.75">
      <c r="C124" s="66"/>
      <c r="D124" s="66"/>
      <c r="F124" s="61"/>
      <c r="G124" s="61"/>
      <c r="H124" s="61"/>
      <c r="I124" s="61"/>
      <c r="J124" s="61"/>
      <c r="K124" s="61"/>
      <c r="L124" s="61"/>
      <c r="M124" s="67"/>
      <c r="N124" s="67"/>
      <c r="O124" s="61"/>
      <c r="P124" s="61"/>
      <c r="Q124" s="61"/>
      <c r="R124" s="61"/>
      <c r="S124" s="61"/>
    </row>
    <row r="125" spans="3:19" ht="12.75">
      <c r="C125" s="66"/>
      <c r="D125" s="66"/>
      <c r="F125" s="61"/>
      <c r="G125" s="61"/>
      <c r="H125" s="61"/>
      <c r="I125" s="61"/>
      <c r="J125" s="61"/>
      <c r="K125" s="61"/>
      <c r="L125" s="61"/>
      <c r="M125" s="67"/>
      <c r="N125" s="67"/>
      <c r="O125" s="61"/>
      <c r="P125" s="61"/>
      <c r="Q125" s="61"/>
      <c r="R125" s="61"/>
      <c r="S125" s="61"/>
    </row>
    <row r="126" spans="3:19" ht="12.75">
      <c r="C126" s="66"/>
      <c r="D126" s="66"/>
      <c r="F126" s="61"/>
      <c r="G126" s="61"/>
      <c r="H126" s="61"/>
      <c r="I126" s="61"/>
      <c r="J126" s="61"/>
      <c r="K126" s="61"/>
      <c r="L126" s="61"/>
      <c r="M126" s="67"/>
      <c r="N126" s="67"/>
      <c r="O126" s="61"/>
      <c r="P126" s="61"/>
      <c r="Q126" s="61"/>
      <c r="R126" s="61"/>
      <c r="S126" s="61"/>
    </row>
    <row r="127" spans="3:19" ht="12.75">
      <c r="C127" s="66"/>
      <c r="D127" s="66"/>
      <c r="F127" s="61"/>
      <c r="G127" s="61"/>
      <c r="H127" s="61"/>
      <c r="I127" s="61"/>
      <c r="J127" s="61"/>
      <c r="K127" s="61"/>
      <c r="L127" s="61"/>
      <c r="M127" s="67"/>
      <c r="N127" s="67"/>
      <c r="O127" s="61"/>
      <c r="P127" s="61"/>
      <c r="Q127" s="61"/>
      <c r="R127" s="61"/>
      <c r="S127" s="61"/>
    </row>
    <row r="128" spans="3:19" ht="12.75">
      <c r="C128" s="66"/>
      <c r="D128" s="66"/>
      <c r="F128" s="61"/>
      <c r="G128" s="61"/>
      <c r="H128" s="61"/>
      <c r="I128" s="61"/>
      <c r="J128" s="61"/>
      <c r="K128" s="61"/>
      <c r="L128" s="61"/>
      <c r="M128" s="67"/>
      <c r="N128" s="67"/>
      <c r="O128" s="61"/>
      <c r="P128" s="61"/>
      <c r="Q128" s="61"/>
      <c r="R128" s="61"/>
      <c r="S128" s="61"/>
    </row>
    <row r="129" spans="3:19" ht="12.75">
      <c r="C129" s="66"/>
      <c r="D129" s="66"/>
      <c r="F129" s="61"/>
      <c r="G129" s="61"/>
      <c r="H129" s="61"/>
      <c r="I129" s="61"/>
      <c r="J129" s="61"/>
      <c r="K129" s="61"/>
      <c r="L129" s="61"/>
      <c r="M129" s="67"/>
      <c r="N129" s="67"/>
      <c r="O129" s="61"/>
      <c r="P129" s="61"/>
      <c r="Q129" s="61"/>
      <c r="R129" s="61"/>
      <c r="S129" s="61"/>
    </row>
    <row r="130" spans="3:19" ht="12.75">
      <c r="C130" s="66"/>
      <c r="D130" s="66"/>
      <c r="F130" s="61"/>
      <c r="G130" s="61"/>
      <c r="H130" s="61"/>
      <c r="I130" s="61"/>
      <c r="J130" s="61"/>
      <c r="K130" s="61"/>
      <c r="L130" s="61"/>
      <c r="M130" s="67"/>
      <c r="N130" s="67"/>
      <c r="O130" s="61"/>
      <c r="P130" s="61"/>
      <c r="Q130" s="61"/>
      <c r="R130" s="61"/>
      <c r="S130" s="61"/>
    </row>
    <row r="131" spans="3:19" ht="12.75">
      <c r="C131" s="66"/>
      <c r="D131" s="66"/>
      <c r="F131" s="61"/>
      <c r="G131" s="61"/>
      <c r="H131" s="61"/>
      <c r="I131" s="61"/>
      <c r="J131" s="61"/>
      <c r="K131" s="61"/>
      <c r="L131" s="61"/>
      <c r="M131" s="67"/>
      <c r="N131" s="67"/>
      <c r="O131" s="61"/>
      <c r="P131" s="61"/>
      <c r="Q131" s="61"/>
      <c r="R131" s="61"/>
      <c r="S131" s="61"/>
    </row>
    <row r="132" spans="3:19" ht="12.75">
      <c r="C132" s="66"/>
      <c r="D132" s="66"/>
      <c r="F132" s="61"/>
      <c r="G132" s="61"/>
      <c r="H132" s="61"/>
      <c r="I132" s="61"/>
      <c r="J132" s="61"/>
      <c r="K132" s="61"/>
      <c r="L132" s="61"/>
      <c r="M132" s="67"/>
      <c r="N132" s="67"/>
      <c r="O132" s="61"/>
      <c r="P132" s="61"/>
      <c r="Q132" s="61"/>
      <c r="R132" s="61"/>
      <c r="S132" s="61"/>
    </row>
    <row r="133" spans="3:19" ht="12.75">
      <c r="C133" s="66"/>
      <c r="D133" s="66"/>
      <c r="F133" s="61"/>
      <c r="G133" s="61"/>
      <c r="H133" s="61"/>
      <c r="I133" s="61"/>
      <c r="J133" s="61"/>
      <c r="K133" s="61"/>
      <c r="L133" s="61"/>
      <c r="M133" s="67"/>
      <c r="N133" s="67"/>
      <c r="O133" s="61"/>
      <c r="P133" s="61"/>
      <c r="Q133" s="61"/>
      <c r="R133" s="61"/>
      <c r="S133" s="61"/>
    </row>
    <row r="134" spans="3:19" ht="12.75">
      <c r="C134" s="66"/>
      <c r="D134" s="66"/>
      <c r="F134" s="61"/>
      <c r="G134" s="61"/>
      <c r="H134" s="61"/>
      <c r="I134" s="61"/>
      <c r="J134" s="61"/>
      <c r="K134" s="61"/>
      <c r="L134" s="61"/>
      <c r="M134" s="67"/>
      <c r="N134" s="67"/>
      <c r="O134" s="61"/>
      <c r="P134" s="61"/>
      <c r="Q134" s="61"/>
      <c r="R134" s="61"/>
      <c r="S134" s="61"/>
    </row>
    <row r="135" spans="3:19" ht="12.75">
      <c r="C135" s="66"/>
      <c r="D135" s="66"/>
      <c r="F135" s="61"/>
      <c r="G135" s="61"/>
      <c r="H135" s="61"/>
      <c r="I135" s="61"/>
      <c r="J135" s="61"/>
      <c r="K135" s="61"/>
      <c r="L135" s="61"/>
      <c r="M135" s="67"/>
      <c r="N135" s="67"/>
      <c r="O135" s="61"/>
      <c r="P135" s="61"/>
      <c r="Q135" s="61"/>
      <c r="R135" s="61"/>
      <c r="S135" s="61"/>
    </row>
    <row r="136" spans="3:19" ht="12.75">
      <c r="C136" s="66"/>
      <c r="D136" s="66"/>
      <c r="F136" s="61"/>
      <c r="G136" s="61"/>
      <c r="H136" s="61"/>
      <c r="I136" s="61"/>
      <c r="J136" s="61"/>
      <c r="K136" s="61"/>
      <c r="L136" s="61"/>
      <c r="M136" s="67"/>
      <c r="N136" s="67"/>
      <c r="O136" s="61"/>
      <c r="P136" s="61"/>
      <c r="Q136" s="61"/>
      <c r="R136" s="61"/>
      <c r="S136" s="61"/>
    </row>
    <row r="137" spans="3:19" ht="12.75">
      <c r="C137" s="66"/>
      <c r="D137" s="66"/>
      <c r="F137" s="61"/>
      <c r="G137" s="61"/>
      <c r="H137" s="61"/>
      <c r="I137" s="61"/>
      <c r="J137" s="61"/>
      <c r="K137" s="61"/>
      <c r="L137" s="61"/>
      <c r="M137" s="67"/>
      <c r="N137" s="67"/>
      <c r="O137" s="61"/>
      <c r="P137" s="61"/>
      <c r="Q137" s="61"/>
      <c r="R137" s="61"/>
      <c r="S137" s="61"/>
    </row>
    <row r="138" spans="3:19" ht="12.75">
      <c r="C138" s="66"/>
      <c r="D138" s="66"/>
      <c r="F138" s="61"/>
      <c r="G138" s="61"/>
      <c r="H138" s="61"/>
      <c r="I138" s="61"/>
      <c r="J138" s="61"/>
      <c r="K138" s="61"/>
      <c r="L138" s="61"/>
      <c r="M138" s="67"/>
      <c r="N138" s="67"/>
      <c r="O138" s="61"/>
      <c r="P138" s="61"/>
      <c r="Q138" s="61"/>
      <c r="R138" s="61"/>
      <c r="S138" s="61"/>
    </row>
    <row r="139" spans="3:19" ht="12.75">
      <c r="C139" s="66"/>
      <c r="D139" s="66"/>
      <c r="F139" s="61"/>
      <c r="G139" s="61"/>
      <c r="H139" s="61"/>
      <c r="I139" s="61"/>
      <c r="J139" s="61"/>
      <c r="K139" s="61"/>
      <c r="L139" s="61"/>
      <c r="M139" s="67"/>
      <c r="N139" s="67"/>
      <c r="O139" s="61"/>
      <c r="P139" s="61"/>
      <c r="Q139" s="61"/>
      <c r="R139" s="61"/>
      <c r="S139" s="61"/>
    </row>
    <row r="140" spans="3:19" ht="12.75">
      <c r="C140" s="66"/>
      <c r="D140" s="66"/>
      <c r="F140" s="61"/>
      <c r="G140" s="61"/>
      <c r="H140" s="61"/>
      <c r="I140" s="61"/>
      <c r="J140" s="61"/>
      <c r="K140" s="61"/>
      <c r="L140" s="61"/>
      <c r="M140" s="67"/>
      <c r="N140" s="67"/>
      <c r="O140" s="61"/>
      <c r="P140" s="61"/>
      <c r="Q140" s="61"/>
      <c r="R140" s="61"/>
      <c r="S140" s="61"/>
    </row>
    <row r="141" spans="3:19" ht="12.75">
      <c r="C141" s="66"/>
      <c r="D141" s="66"/>
      <c r="F141" s="61"/>
      <c r="G141" s="61"/>
      <c r="H141" s="61"/>
      <c r="I141" s="61"/>
      <c r="J141" s="61"/>
      <c r="K141" s="61"/>
      <c r="L141" s="61"/>
      <c r="M141" s="67"/>
      <c r="N141" s="67"/>
      <c r="O141" s="61"/>
      <c r="P141" s="61"/>
      <c r="Q141" s="61"/>
      <c r="R141" s="61"/>
      <c r="S141" s="61"/>
    </row>
    <row r="142" spans="3:19" ht="12.75">
      <c r="C142" s="66"/>
      <c r="D142" s="66"/>
      <c r="F142" s="61"/>
      <c r="G142" s="61"/>
      <c r="H142" s="61"/>
      <c r="I142" s="61"/>
      <c r="J142" s="61"/>
      <c r="K142" s="61"/>
      <c r="L142" s="61"/>
      <c r="M142" s="67"/>
      <c r="N142" s="67"/>
      <c r="O142" s="61"/>
      <c r="P142" s="61"/>
      <c r="Q142" s="61"/>
      <c r="R142" s="61"/>
      <c r="S142" s="61"/>
    </row>
    <row r="143" spans="3:19" ht="12.75">
      <c r="C143" s="66"/>
      <c r="D143" s="66"/>
      <c r="F143" s="61"/>
      <c r="G143" s="61"/>
      <c r="H143" s="61"/>
      <c r="I143" s="61"/>
      <c r="J143" s="61"/>
      <c r="K143" s="61"/>
      <c r="L143" s="61"/>
      <c r="M143" s="67"/>
      <c r="N143" s="67"/>
      <c r="O143" s="61"/>
      <c r="P143" s="61"/>
      <c r="Q143" s="61"/>
      <c r="R143" s="61"/>
      <c r="S143" s="61"/>
    </row>
    <row r="144" spans="3:19" ht="12.75">
      <c r="C144" s="66"/>
      <c r="D144" s="66"/>
      <c r="F144" s="61"/>
      <c r="G144" s="61"/>
      <c r="H144" s="61"/>
      <c r="I144" s="61"/>
      <c r="J144" s="61"/>
      <c r="K144" s="61"/>
      <c r="L144" s="61"/>
      <c r="M144" s="67"/>
      <c r="N144" s="67"/>
      <c r="O144" s="61"/>
      <c r="P144" s="61"/>
      <c r="Q144" s="61"/>
      <c r="R144" s="61"/>
      <c r="S144" s="61"/>
    </row>
    <row r="145" spans="3:19" ht="12.75">
      <c r="C145" s="66"/>
      <c r="D145" s="66"/>
      <c r="F145" s="61"/>
      <c r="G145" s="61"/>
      <c r="H145" s="61"/>
      <c r="I145" s="61"/>
      <c r="J145" s="61"/>
      <c r="K145" s="61"/>
      <c r="L145" s="61"/>
      <c r="M145" s="67"/>
      <c r="N145" s="67"/>
      <c r="O145" s="61"/>
      <c r="P145" s="61"/>
      <c r="Q145" s="61"/>
      <c r="R145" s="61"/>
      <c r="S145" s="61"/>
    </row>
    <row r="146" spans="3:19" ht="12.75">
      <c r="C146" s="66"/>
      <c r="D146" s="66"/>
      <c r="F146" s="61"/>
      <c r="G146" s="61"/>
      <c r="H146" s="61"/>
      <c r="I146" s="61"/>
      <c r="J146" s="61"/>
      <c r="K146" s="61"/>
      <c r="L146" s="61"/>
      <c r="M146" s="67"/>
      <c r="N146" s="67"/>
      <c r="O146" s="61"/>
      <c r="P146" s="61"/>
      <c r="Q146" s="61"/>
      <c r="R146" s="61"/>
      <c r="S146" s="61"/>
    </row>
    <row r="147" spans="3:19" ht="12.75">
      <c r="C147" s="66"/>
      <c r="D147" s="66"/>
      <c r="F147" s="61"/>
      <c r="G147" s="61"/>
      <c r="H147" s="61"/>
      <c r="I147" s="61"/>
      <c r="J147" s="61"/>
      <c r="K147" s="61"/>
      <c r="L147" s="61"/>
      <c r="M147" s="67"/>
      <c r="N147" s="67"/>
      <c r="O147" s="61"/>
      <c r="P147" s="61"/>
      <c r="Q147" s="61"/>
      <c r="R147" s="61"/>
      <c r="S147" s="61"/>
    </row>
    <row r="148" spans="3:19" ht="12.75">
      <c r="C148" s="66"/>
      <c r="D148" s="66"/>
      <c r="F148" s="61"/>
      <c r="G148" s="61"/>
      <c r="H148" s="61"/>
      <c r="I148" s="61"/>
      <c r="J148" s="61"/>
      <c r="K148" s="61"/>
      <c r="L148" s="61"/>
      <c r="M148" s="67"/>
      <c r="N148" s="67"/>
      <c r="O148" s="61"/>
      <c r="P148" s="61"/>
      <c r="Q148" s="61"/>
      <c r="R148" s="61"/>
      <c r="S148" s="61"/>
    </row>
    <row r="149" spans="3:19" ht="12.75">
      <c r="C149" s="66"/>
      <c r="D149" s="66"/>
      <c r="F149" s="61"/>
      <c r="G149" s="61"/>
      <c r="H149" s="61"/>
      <c r="I149" s="61"/>
      <c r="J149" s="61"/>
      <c r="K149" s="61"/>
      <c r="L149" s="61"/>
      <c r="M149" s="67"/>
      <c r="N149" s="67"/>
      <c r="O149" s="61"/>
      <c r="P149" s="61"/>
      <c r="Q149" s="61"/>
      <c r="R149" s="61"/>
      <c r="S149" s="61"/>
    </row>
    <row r="150" spans="3:19" ht="12.75">
      <c r="C150" s="66"/>
      <c r="D150" s="66"/>
      <c r="F150" s="61"/>
      <c r="G150" s="61"/>
      <c r="H150" s="61"/>
      <c r="I150" s="61"/>
      <c r="J150" s="61"/>
      <c r="K150" s="61"/>
      <c r="L150" s="61"/>
      <c r="M150" s="67"/>
      <c r="N150" s="67"/>
      <c r="O150" s="61"/>
      <c r="P150" s="61"/>
      <c r="Q150" s="61"/>
      <c r="R150" s="61"/>
      <c r="S150" s="61"/>
    </row>
    <row r="151" spans="3:19" ht="12.75">
      <c r="C151" s="66"/>
      <c r="D151" s="66"/>
      <c r="F151" s="61"/>
      <c r="G151" s="61"/>
      <c r="H151" s="61"/>
      <c r="I151" s="61"/>
      <c r="J151" s="61"/>
      <c r="K151" s="61"/>
      <c r="L151" s="61"/>
      <c r="M151" s="67"/>
      <c r="N151" s="67"/>
      <c r="O151" s="61"/>
      <c r="P151" s="61"/>
      <c r="Q151" s="61"/>
      <c r="R151" s="61"/>
      <c r="S151" s="61"/>
    </row>
    <row r="152" spans="3:19" ht="12.75">
      <c r="C152" s="66"/>
      <c r="D152" s="66"/>
      <c r="F152" s="61"/>
      <c r="G152" s="61"/>
      <c r="H152" s="61"/>
      <c r="I152" s="61"/>
      <c r="J152" s="61"/>
      <c r="K152" s="61"/>
      <c r="L152" s="61"/>
      <c r="M152" s="67"/>
      <c r="N152" s="67"/>
      <c r="O152" s="61"/>
      <c r="P152" s="61"/>
      <c r="Q152" s="61"/>
      <c r="R152" s="61"/>
      <c r="S152" s="61"/>
    </row>
    <row r="153" spans="3:19" ht="12.75">
      <c r="C153" s="66"/>
      <c r="D153" s="66"/>
      <c r="F153" s="61"/>
      <c r="G153" s="61"/>
      <c r="H153" s="61"/>
      <c r="I153" s="61"/>
      <c r="J153" s="61"/>
      <c r="K153" s="61"/>
      <c r="L153" s="61"/>
      <c r="M153" s="67"/>
      <c r="N153" s="67"/>
      <c r="O153" s="61"/>
      <c r="P153" s="61"/>
      <c r="Q153" s="61"/>
      <c r="R153" s="61"/>
      <c r="S153" s="61"/>
    </row>
    <row r="154" spans="3:19" ht="12.75">
      <c r="C154" s="66"/>
      <c r="D154" s="66"/>
      <c r="F154" s="61"/>
      <c r="G154" s="61"/>
      <c r="H154" s="61"/>
      <c r="I154" s="61"/>
      <c r="J154" s="61"/>
      <c r="K154" s="61"/>
      <c r="L154" s="61"/>
      <c r="M154" s="67"/>
      <c r="N154" s="67"/>
      <c r="O154" s="61"/>
      <c r="P154" s="61"/>
      <c r="Q154" s="61"/>
      <c r="R154" s="61"/>
      <c r="S154" s="61"/>
    </row>
    <row r="155" spans="3:19" ht="12.75">
      <c r="C155" s="66"/>
      <c r="D155" s="66"/>
      <c r="F155" s="61"/>
      <c r="G155" s="61"/>
      <c r="H155" s="61"/>
      <c r="I155" s="61"/>
      <c r="J155" s="61"/>
      <c r="K155" s="61"/>
      <c r="L155" s="61"/>
      <c r="M155" s="67"/>
      <c r="N155" s="67"/>
      <c r="O155" s="61"/>
      <c r="P155" s="61"/>
      <c r="Q155" s="61"/>
      <c r="R155" s="61"/>
      <c r="S155" s="61"/>
    </row>
    <row r="156" spans="3:19" ht="12.75">
      <c r="C156" s="66"/>
      <c r="D156" s="66"/>
      <c r="F156" s="61"/>
      <c r="G156" s="61"/>
      <c r="H156" s="61"/>
      <c r="I156" s="61"/>
      <c r="J156" s="61"/>
      <c r="K156" s="61"/>
      <c r="L156" s="61"/>
      <c r="M156" s="67"/>
      <c r="N156" s="67"/>
      <c r="O156" s="61"/>
      <c r="P156" s="61"/>
      <c r="Q156" s="61"/>
      <c r="R156" s="61"/>
      <c r="S156" s="61"/>
    </row>
    <row r="157" spans="3:19" ht="12.75">
      <c r="C157" s="66"/>
      <c r="D157" s="66"/>
      <c r="F157" s="61"/>
      <c r="G157" s="61"/>
      <c r="H157" s="61"/>
      <c r="I157" s="61"/>
      <c r="J157" s="61"/>
      <c r="K157" s="61"/>
      <c r="L157" s="61"/>
      <c r="M157" s="67"/>
      <c r="N157" s="67"/>
      <c r="O157" s="61"/>
      <c r="P157" s="61"/>
      <c r="Q157" s="61"/>
      <c r="R157" s="61"/>
      <c r="S157" s="61"/>
    </row>
    <row r="158" spans="3:19" ht="12.75">
      <c r="C158" s="66"/>
      <c r="D158" s="66"/>
      <c r="F158" s="61"/>
      <c r="G158" s="61"/>
      <c r="H158" s="61"/>
      <c r="I158" s="61"/>
      <c r="J158" s="61"/>
      <c r="K158" s="61"/>
      <c r="L158" s="61"/>
      <c r="M158" s="67"/>
      <c r="N158" s="67"/>
      <c r="O158" s="61"/>
      <c r="P158" s="61"/>
      <c r="Q158" s="61"/>
      <c r="R158" s="61"/>
      <c r="S158" s="61"/>
    </row>
    <row r="159" spans="3:19" ht="12.75">
      <c r="C159" s="66"/>
      <c r="D159" s="66"/>
      <c r="F159" s="61"/>
      <c r="G159" s="61"/>
      <c r="H159" s="61"/>
      <c r="I159" s="61"/>
      <c r="J159" s="61"/>
      <c r="K159" s="61"/>
      <c r="L159" s="61"/>
      <c r="M159" s="67"/>
      <c r="N159" s="67"/>
      <c r="O159" s="61"/>
      <c r="P159" s="61"/>
      <c r="Q159" s="61"/>
      <c r="R159" s="61"/>
      <c r="S159" s="61"/>
    </row>
    <row r="160" spans="3:19" ht="12.75">
      <c r="C160" s="66"/>
      <c r="D160" s="66"/>
      <c r="F160" s="61"/>
      <c r="G160" s="61"/>
      <c r="H160" s="61"/>
      <c r="I160" s="61"/>
      <c r="J160" s="61"/>
      <c r="K160" s="61"/>
      <c r="L160" s="61"/>
      <c r="M160" s="67"/>
      <c r="N160" s="67"/>
      <c r="O160" s="61"/>
      <c r="P160" s="61"/>
      <c r="Q160" s="61"/>
      <c r="R160" s="61"/>
      <c r="S160" s="61"/>
    </row>
    <row r="161" spans="3:19" ht="12.75">
      <c r="C161" s="66"/>
      <c r="D161" s="66"/>
      <c r="F161" s="61"/>
      <c r="G161" s="61"/>
      <c r="H161" s="61"/>
      <c r="I161" s="61"/>
      <c r="J161" s="61"/>
      <c r="K161" s="61"/>
      <c r="L161" s="61"/>
      <c r="M161" s="67"/>
      <c r="N161" s="67"/>
      <c r="O161" s="61"/>
      <c r="P161" s="61"/>
      <c r="Q161" s="61"/>
      <c r="R161" s="61"/>
      <c r="S161" s="61"/>
    </row>
    <row r="162" spans="3:19" ht="12.75">
      <c r="C162" s="66"/>
      <c r="D162" s="66"/>
      <c r="F162" s="61"/>
      <c r="G162" s="61"/>
      <c r="H162" s="61"/>
      <c r="I162" s="61"/>
      <c r="J162" s="61"/>
      <c r="K162" s="61"/>
      <c r="L162" s="61"/>
      <c r="M162" s="67"/>
      <c r="N162" s="67"/>
      <c r="O162" s="61"/>
      <c r="P162" s="61"/>
      <c r="Q162" s="61"/>
      <c r="R162" s="61"/>
      <c r="S162" s="61"/>
    </row>
    <row r="163" spans="3:19" ht="12.75">
      <c r="C163" s="66"/>
      <c r="D163" s="66"/>
      <c r="F163" s="61"/>
      <c r="G163" s="61"/>
      <c r="H163" s="61"/>
      <c r="I163" s="61"/>
      <c r="J163" s="61"/>
      <c r="K163" s="61"/>
      <c r="L163" s="61"/>
      <c r="M163" s="67"/>
      <c r="N163" s="67"/>
      <c r="O163" s="61"/>
      <c r="P163" s="61"/>
      <c r="Q163" s="61"/>
      <c r="R163" s="61"/>
      <c r="S163" s="61"/>
    </row>
    <row r="164" spans="3:19" ht="12.75">
      <c r="C164" s="66"/>
      <c r="D164" s="66"/>
      <c r="F164" s="61"/>
      <c r="G164" s="61"/>
      <c r="H164" s="61"/>
      <c r="I164" s="61"/>
      <c r="J164" s="61"/>
      <c r="K164" s="61"/>
      <c r="L164" s="61"/>
      <c r="M164" s="67"/>
      <c r="N164" s="67"/>
      <c r="O164" s="61"/>
      <c r="P164" s="61"/>
      <c r="Q164" s="61"/>
      <c r="R164" s="61"/>
      <c r="S164" s="61"/>
    </row>
    <row r="165" spans="3:19" ht="12.75">
      <c r="C165" s="66"/>
      <c r="D165" s="66"/>
      <c r="F165" s="61"/>
      <c r="G165" s="61"/>
      <c r="H165" s="61"/>
      <c r="I165" s="61"/>
      <c r="J165" s="61"/>
      <c r="K165" s="61"/>
      <c r="L165" s="61"/>
      <c r="M165" s="67"/>
      <c r="N165" s="67"/>
      <c r="O165" s="61"/>
      <c r="P165" s="61"/>
      <c r="Q165" s="61"/>
      <c r="R165" s="61"/>
      <c r="S165" s="61"/>
    </row>
    <row r="166" spans="3:19" ht="12.75">
      <c r="C166" s="66"/>
      <c r="D166" s="66"/>
      <c r="F166" s="61"/>
      <c r="G166" s="61"/>
      <c r="H166" s="61"/>
      <c r="I166" s="61"/>
      <c r="J166" s="61"/>
      <c r="K166" s="61"/>
      <c r="L166" s="61"/>
      <c r="M166" s="67"/>
      <c r="N166" s="67"/>
      <c r="O166" s="61"/>
      <c r="P166" s="61"/>
      <c r="Q166" s="61"/>
      <c r="R166" s="61"/>
      <c r="S166" s="61"/>
    </row>
    <row r="167" spans="3:19" ht="12.75">
      <c r="C167" s="66"/>
      <c r="D167" s="66"/>
      <c r="F167" s="61"/>
      <c r="G167" s="61"/>
      <c r="H167" s="61"/>
      <c r="I167" s="61"/>
      <c r="J167" s="61"/>
      <c r="K167" s="61"/>
      <c r="L167" s="61"/>
      <c r="M167" s="67"/>
      <c r="N167" s="67"/>
      <c r="O167" s="61"/>
      <c r="P167" s="61"/>
      <c r="Q167" s="61"/>
      <c r="R167" s="61"/>
      <c r="S167" s="61"/>
    </row>
    <row r="168" spans="3:19" ht="12.75">
      <c r="C168" s="66"/>
      <c r="D168" s="66"/>
      <c r="F168" s="61"/>
      <c r="G168" s="61"/>
      <c r="H168" s="61"/>
      <c r="I168" s="61"/>
      <c r="J168" s="61"/>
      <c r="K168" s="61"/>
      <c r="L168" s="61"/>
      <c r="M168" s="67"/>
      <c r="N168" s="67"/>
      <c r="O168" s="61"/>
      <c r="P168" s="61"/>
      <c r="Q168" s="61"/>
      <c r="R168" s="61"/>
      <c r="S168" s="61"/>
    </row>
    <row r="169" spans="3:19" ht="12.75">
      <c r="C169" s="66"/>
      <c r="D169" s="66"/>
      <c r="F169" s="61"/>
      <c r="G169" s="61"/>
      <c r="H169" s="61"/>
      <c r="I169" s="61"/>
      <c r="J169" s="61"/>
      <c r="K169" s="61"/>
      <c r="L169" s="61"/>
      <c r="M169" s="67"/>
      <c r="N169" s="67"/>
      <c r="O169" s="61"/>
      <c r="P169" s="61"/>
      <c r="Q169" s="61"/>
      <c r="R169" s="61"/>
      <c r="S169" s="61"/>
    </row>
    <row r="170" spans="3:19" ht="12.75">
      <c r="C170" s="66"/>
      <c r="D170" s="66"/>
      <c r="F170" s="61"/>
      <c r="G170" s="61"/>
      <c r="H170" s="61"/>
      <c r="I170" s="61"/>
      <c r="J170" s="61"/>
      <c r="K170" s="61"/>
      <c r="L170" s="61"/>
      <c r="M170" s="67"/>
      <c r="N170" s="67"/>
      <c r="O170" s="61"/>
      <c r="P170" s="61"/>
      <c r="Q170" s="61"/>
      <c r="R170" s="61"/>
      <c r="S170" s="61"/>
    </row>
    <row r="171" spans="3:19" ht="12.75">
      <c r="C171" s="66"/>
      <c r="D171" s="66"/>
      <c r="F171" s="61"/>
      <c r="G171" s="61"/>
      <c r="H171" s="61"/>
      <c r="I171" s="61"/>
      <c r="J171" s="61"/>
      <c r="K171" s="61"/>
      <c r="L171" s="61"/>
      <c r="M171" s="67"/>
      <c r="N171" s="67"/>
      <c r="O171" s="61"/>
      <c r="P171" s="61"/>
      <c r="Q171" s="61"/>
      <c r="R171" s="61"/>
      <c r="S171" s="61"/>
    </row>
    <row r="172" spans="3:19" ht="12.75">
      <c r="C172" s="66"/>
      <c r="D172" s="66"/>
      <c r="F172" s="61"/>
      <c r="G172" s="61"/>
      <c r="H172" s="61"/>
      <c r="I172" s="61"/>
      <c r="J172" s="61"/>
      <c r="K172" s="61"/>
      <c r="L172" s="61"/>
      <c r="M172" s="67"/>
      <c r="N172" s="67"/>
      <c r="O172" s="61"/>
      <c r="P172" s="61"/>
      <c r="Q172" s="61"/>
      <c r="R172" s="61"/>
      <c r="S172" s="61"/>
    </row>
    <row r="173" spans="3:19" ht="12.75">
      <c r="C173" s="66"/>
      <c r="D173" s="66"/>
      <c r="F173" s="61"/>
      <c r="G173" s="61"/>
      <c r="H173" s="61"/>
      <c r="I173" s="61"/>
      <c r="J173" s="61"/>
      <c r="K173" s="61"/>
      <c r="L173" s="61"/>
      <c r="M173" s="67"/>
      <c r="N173" s="67"/>
      <c r="O173" s="61"/>
      <c r="P173" s="61"/>
      <c r="Q173" s="61"/>
      <c r="R173" s="61"/>
      <c r="S173" s="61"/>
    </row>
    <row r="174" spans="3:19" ht="12.75">
      <c r="C174" s="66"/>
      <c r="D174" s="66"/>
      <c r="F174" s="61"/>
      <c r="G174" s="61"/>
      <c r="H174" s="61"/>
      <c r="I174" s="61"/>
      <c r="J174" s="61"/>
      <c r="K174" s="61"/>
      <c r="L174" s="61"/>
      <c r="M174" s="67"/>
      <c r="N174" s="67"/>
      <c r="O174" s="61"/>
      <c r="P174" s="61"/>
      <c r="Q174" s="61"/>
      <c r="R174" s="61"/>
      <c r="S174" s="61"/>
    </row>
    <row r="175" spans="3:19" ht="12.75">
      <c r="C175" s="66"/>
      <c r="D175" s="66"/>
      <c r="F175" s="61"/>
      <c r="G175" s="61"/>
      <c r="H175" s="61"/>
      <c r="I175" s="61"/>
      <c r="J175" s="61"/>
      <c r="K175" s="61"/>
      <c r="L175" s="61"/>
      <c r="M175" s="67"/>
      <c r="N175" s="67"/>
      <c r="O175" s="61"/>
      <c r="P175" s="61"/>
      <c r="Q175" s="61"/>
      <c r="R175" s="61"/>
      <c r="S175" s="61"/>
    </row>
    <row r="176" spans="3:19" ht="12.75">
      <c r="C176" s="66"/>
      <c r="D176" s="66"/>
      <c r="F176" s="61"/>
      <c r="G176" s="61"/>
      <c r="H176" s="61"/>
      <c r="I176" s="61"/>
      <c r="J176" s="61"/>
      <c r="K176" s="61"/>
      <c r="L176" s="61"/>
      <c r="M176" s="67"/>
      <c r="N176" s="67"/>
      <c r="O176" s="61"/>
      <c r="P176" s="61"/>
      <c r="Q176" s="61"/>
      <c r="R176" s="61"/>
      <c r="S176" s="61"/>
    </row>
    <row r="177" spans="3:19" ht="12.75">
      <c r="C177" s="66"/>
      <c r="D177" s="66"/>
      <c r="F177" s="61"/>
      <c r="G177" s="61"/>
      <c r="H177" s="61"/>
      <c r="I177" s="61"/>
      <c r="J177" s="61"/>
      <c r="K177" s="61"/>
      <c r="L177" s="61"/>
      <c r="M177" s="67"/>
      <c r="N177" s="67"/>
      <c r="O177" s="61"/>
      <c r="P177" s="61"/>
      <c r="Q177" s="61"/>
      <c r="R177" s="61"/>
      <c r="S177" s="61"/>
    </row>
    <row r="178" spans="3:19" ht="12.75">
      <c r="C178" s="66"/>
      <c r="D178" s="66"/>
      <c r="F178" s="61"/>
      <c r="G178" s="61"/>
      <c r="H178" s="61"/>
      <c r="I178" s="61"/>
      <c r="J178" s="61"/>
      <c r="K178" s="61"/>
      <c r="L178" s="61"/>
      <c r="M178" s="67"/>
      <c r="N178" s="67"/>
      <c r="O178" s="61"/>
      <c r="P178" s="61"/>
      <c r="Q178" s="61"/>
      <c r="R178" s="61"/>
      <c r="S178" s="61"/>
    </row>
    <row r="179" spans="3:19" ht="12.75">
      <c r="C179" s="66"/>
      <c r="D179" s="66"/>
      <c r="F179" s="61"/>
      <c r="G179" s="61"/>
      <c r="H179" s="61"/>
      <c r="I179" s="61"/>
      <c r="J179" s="61"/>
      <c r="K179" s="61"/>
      <c r="L179" s="61"/>
      <c r="M179" s="67"/>
      <c r="N179" s="67"/>
      <c r="O179" s="61"/>
      <c r="P179" s="61"/>
      <c r="Q179" s="61"/>
      <c r="R179" s="61"/>
      <c r="S179" s="61"/>
    </row>
    <row r="180" spans="3:19" ht="12.75">
      <c r="C180" s="66"/>
      <c r="D180" s="66"/>
      <c r="F180" s="61"/>
      <c r="G180" s="61"/>
      <c r="H180" s="61"/>
      <c r="I180" s="61"/>
      <c r="J180" s="61"/>
      <c r="K180" s="61"/>
      <c r="L180" s="61"/>
      <c r="M180" s="67"/>
      <c r="N180" s="67"/>
      <c r="O180" s="61"/>
      <c r="P180" s="61"/>
      <c r="Q180" s="61"/>
      <c r="R180" s="61"/>
      <c r="S180" s="61"/>
    </row>
    <row r="181" spans="3:19" ht="12.75">
      <c r="C181" s="66"/>
      <c r="D181" s="66"/>
      <c r="F181" s="61"/>
      <c r="G181" s="61"/>
      <c r="H181" s="61"/>
      <c r="I181" s="61"/>
      <c r="J181" s="61"/>
      <c r="K181" s="61"/>
      <c r="L181" s="61"/>
      <c r="M181" s="67"/>
      <c r="N181" s="67"/>
      <c r="O181" s="61"/>
      <c r="P181" s="61"/>
      <c r="Q181" s="61"/>
      <c r="R181" s="61"/>
      <c r="S181" s="61"/>
    </row>
    <row r="182" spans="3:19" ht="12.75">
      <c r="C182" s="66"/>
      <c r="D182" s="66"/>
      <c r="F182" s="61"/>
      <c r="G182" s="61"/>
      <c r="H182" s="61"/>
      <c r="I182" s="61"/>
      <c r="J182" s="61"/>
      <c r="K182" s="61"/>
      <c r="L182" s="61"/>
      <c r="M182" s="67"/>
      <c r="N182" s="67"/>
      <c r="O182" s="61"/>
      <c r="P182" s="61"/>
      <c r="Q182" s="61"/>
      <c r="R182" s="61"/>
      <c r="S182" s="61"/>
    </row>
    <row r="183" spans="3:19" ht="12.75">
      <c r="C183" s="66"/>
      <c r="D183" s="66"/>
      <c r="F183" s="61"/>
      <c r="G183" s="61"/>
      <c r="H183" s="61"/>
      <c r="I183" s="61"/>
      <c r="J183" s="61"/>
      <c r="K183" s="61"/>
      <c r="L183" s="61"/>
      <c r="M183" s="67"/>
      <c r="N183" s="67"/>
      <c r="O183" s="61"/>
      <c r="P183" s="61"/>
      <c r="Q183" s="61"/>
      <c r="R183" s="61"/>
      <c r="S183" s="61"/>
    </row>
    <row r="184" spans="3:19" ht="12.75">
      <c r="C184" s="66"/>
      <c r="D184" s="66"/>
      <c r="F184" s="61"/>
      <c r="G184" s="61"/>
      <c r="H184" s="61"/>
      <c r="I184" s="61"/>
      <c r="J184" s="61"/>
      <c r="K184" s="61"/>
      <c r="L184" s="61"/>
      <c r="M184" s="67"/>
      <c r="N184" s="67"/>
      <c r="O184" s="61"/>
      <c r="P184" s="61"/>
      <c r="Q184" s="61"/>
      <c r="R184" s="61"/>
      <c r="S184" s="61"/>
    </row>
    <row r="185" spans="3:19" ht="12.75">
      <c r="C185" s="66"/>
      <c r="D185" s="66"/>
      <c r="F185" s="61"/>
      <c r="G185" s="61"/>
      <c r="H185" s="61"/>
      <c r="I185" s="61"/>
      <c r="J185" s="61"/>
      <c r="K185" s="61"/>
      <c r="L185" s="61"/>
      <c r="M185" s="67"/>
      <c r="N185" s="67"/>
      <c r="O185" s="61"/>
      <c r="P185" s="61"/>
      <c r="Q185" s="61"/>
      <c r="R185" s="61"/>
      <c r="S185" s="61"/>
    </row>
    <row r="186" spans="3:19" ht="12.75">
      <c r="C186" s="66"/>
      <c r="D186" s="66"/>
      <c r="F186" s="61"/>
      <c r="G186" s="61"/>
      <c r="H186" s="61"/>
      <c r="I186" s="61"/>
      <c r="J186" s="61"/>
      <c r="K186" s="61"/>
      <c r="L186" s="61"/>
      <c r="M186" s="67"/>
      <c r="N186" s="67"/>
      <c r="O186" s="61"/>
      <c r="P186" s="61"/>
      <c r="Q186" s="61"/>
      <c r="R186" s="61"/>
      <c r="S186" s="61"/>
    </row>
    <row r="187" spans="3:19" ht="12.75">
      <c r="C187" s="66"/>
      <c r="D187" s="66"/>
      <c r="F187" s="61"/>
      <c r="G187" s="61"/>
      <c r="H187" s="61"/>
      <c r="I187" s="61"/>
      <c r="J187" s="61"/>
      <c r="K187" s="61"/>
      <c r="L187" s="61"/>
      <c r="M187" s="67"/>
      <c r="N187" s="67"/>
      <c r="O187" s="61"/>
      <c r="P187" s="61"/>
      <c r="Q187" s="61"/>
      <c r="R187" s="61"/>
      <c r="S187" s="61"/>
    </row>
    <row r="188" spans="3:19" ht="12.75">
      <c r="C188" s="66"/>
      <c r="D188" s="66"/>
      <c r="F188" s="61"/>
      <c r="G188" s="61"/>
      <c r="H188" s="61"/>
      <c r="I188" s="61"/>
      <c r="J188" s="61"/>
      <c r="K188" s="61"/>
      <c r="L188" s="61"/>
      <c r="M188" s="67"/>
      <c r="N188" s="67"/>
      <c r="O188" s="61"/>
      <c r="P188" s="61"/>
      <c r="Q188" s="61"/>
      <c r="R188" s="61"/>
      <c r="S188" s="61"/>
    </row>
    <row r="189" spans="3:19" ht="12.75">
      <c r="C189" s="66"/>
      <c r="D189" s="66"/>
      <c r="F189" s="61"/>
      <c r="G189" s="61"/>
      <c r="H189" s="61"/>
      <c r="I189" s="61"/>
      <c r="J189" s="61"/>
      <c r="K189" s="61"/>
      <c r="L189" s="61"/>
      <c r="M189" s="67"/>
      <c r="N189" s="67"/>
      <c r="O189" s="61"/>
      <c r="P189" s="61"/>
      <c r="Q189" s="61"/>
      <c r="R189" s="61"/>
      <c r="S189" s="61"/>
    </row>
    <row r="190" spans="3:19" ht="12.75">
      <c r="C190" s="66"/>
      <c r="D190" s="66"/>
      <c r="F190" s="61"/>
      <c r="G190" s="61"/>
      <c r="H190" s="61"/>
      <c r="I190" s="61"/>
      <c r="J190" s="61"/>
      <c r="K190" s="61"/>
      <c r="L190" s="61"/>
      <c r="M190" s="67"/>
      <c r="N190" s="67"/>
      <c r="O190" s="61"/>
      <c r="P190" s="61"/>
      <c r="Q190" s="61"/>
      <c r="R190" s="61"/>
      <c r="S190" s="61"/>
    </row>
    <row r="191" spans="3:19" ht="12.75">
      <c r="C191" s="66"/>
      <c r="D191" s="66"/>
      <c r="F191" s="61"/>
      <c r="G191" s="61"/>
      <c r="H191" s="61"/>
      <c r="I191" s="61"/>
      <c r="J191" s="61"/>
      <c r="K191" s="61"/>
      <c r="L191" s="61"/>
      <c r="M191" s="67"/>
      <c r="N191" s="67"/>
      <c r="O191" s="61"/>
      <c r="P191" s="61"/>
      <c r="Q191" s="61"/>
      <c r="R191" s="61"/>
      <c r="S191" s="61"/>
    </row>
    <row r="192" spans="3:19" ht="12.75">
      <c r="C192" s="66"/>
      <c r="D192" s="66"/>
      <c r="F192" s="61"/>
      <c r="G192" s="61"/>
      <c r="H192" s="61"/>
      <c r="I192" s="61"/>
      <c r="J192" s="61"/>
      <c r="K192" s="61"/>
      <c r="L192" s="61"/>
      <c r="M192" s="67"/>
      <c r="N192" s="67"/>
      <c r="O192" s="61"/>
      <c r="P192" s="61"/>
      <c r="Q192" s="61"/>
      <c r="R192" s="61"/>
      <c r="S192" s="61"/>
    </row>
    <row r="193" spans="3:19" ht="12.75">
      <c r="C193" s="66"/>
      <c r="D193" s="66"/>
      <c r="F193" s="61"/>
      <c r="G193" s="61"/>
      <c r="H193" s="61"/>
      <c r="I193" s="61"/>
      <c r="J193" s="61"/>
      <c r="K193" s="61"/>
      <c r="L193" s="61"/>
      <c r="M193" s="67"/>
      <c r="N193" s="67"/>
      <c r="O193" s="61"/>
      <c r="P193" s="61"/>
      <c r="Q193" s="61"/>
      <c r="R193" s="61"/>
      <c r="S193" s="61"/>
    </row>
    <row r="194" spans="3:19" ht="12.75">
      <c r="C194" s="66"/>
      <c r="D194" s="66"/>
      <c r="F194" s="61"/>
      <c r="G194" s="61"/>
      <c r="H194" s="61"/>
      <c r="I194" s="61"/>
      <c r="J194" s="61"/>
      <c r="K194" s="61"/>
      <c r="L194" s="61"/>
      <c r="M194" s="67"/>
      <c r="N194" s="67"/>
      <c r="O194" s="61"/>
      <c r="P194" s="61"/>
      <c r="Q194" s="61"/>
      <c r="R194" s="61"/>
      <c r="S194" s="61"/>
    </row>
    <row r="195" spans="3:19" ht="12.75">
      <c r="C195" s="66"/>
      <c r="D195" s="66"/>
      <c r="F195" s="61"/>
      <c r="G195" s="61"/>
      <c r="H195" s="61"/>
      <c r="I195" s="61"/>
      <c r="J195" s="61"/>
      <c r="K195" s="61"/>
      <c r="L195" s="61"/>
      <c r="M195" s="67"/>
      <c r="N195" s="67"/>
      <c r="O195" s="61"/>
      <c r="P195" s="61"/>
      <c r="Q195" s="61"/>
      <c r="R195" s="61"/>
      <c r="S195" s="61"/>
    </row>
    <row r="196" spans="3:19" ht="12.75">
      <c r="C196" s="66"/>
      <c r="D196" s="66"/>
      <c r="F196" s="61"/>
      <c r="G196" s="61"/>
      <c r="H196" s="61"/>
      <c r="I196" s="61"/>
      <c r="J196" s="61"/>
      <c r="K196" s="61"/>
      <c r="L196" s="61"/>
      <c r="M196" s="67"/>
      <c r="N196" s="67"/>
      <c r="O196" s="61"/>
      <c r="P196" s="61"/>
      <c r="Q196" s="61"/>
      <c r="R196" s="61"/>
      <c r="S196" s="61"/>
    </row>
    <row r="197" spans="3:19" ht="12.75">
      <c r="C197" s="66"/>
      <c r="D197" s="66"/>
      <c r="F197" s="61"/>
      <c r="G197" s="61"/>
      <c r="H197" s="61"/>
      <c r="I197" s="61"/>
      <c r="J197" s="61"/>
      <c r="K197" s="61"/>
      <c r="L197" s="61"/>
      <c r="M197" s="67"/>
      <c r="N197" s="67"/>
      <c r="O197" s="61"/>
      <c r="P197" s="61"/>
      <c r="Q197" s="61"/>
      <c r="R197" s="61"/>
      <c r="S197" s="61"/>
    </row>
    <row r="198" spans="3:19" ht="12.75">
      <c r="C198" s="66"/>
      <c r="D198" s="66"/>
      <c r="F198" s="61"/>
      <c r="G198" s="61"/>
      <c r="H198" s="61"/>
      <c r="I198" s="61"/>
      <c r="J198" s="61"/>
      <c r="K198" s="61"/>
      <c r="L198" s="61"/>
      <c r="M198" s="67"/>
      <c r="N198" s="67"/>
      <c r="O198" s="61"/>
      <c r="P198" s="61"/>
      <c r="Q198" s="61"/>
      <c r="R198" s="61"/>
      <c r="S198" s="61"/>
    </row>
    <row r="199" spans="3:19" ht="12.75">
      <c r="C199" s="66"/>
      <c r="D199" s="66"/>
      <c r="F199" s="61"/>
      <c r="G199" s="61"/>
      <c r="H199" s="61"/>
      <c r="I199" s="61"/>
      <c r="J199" s="61"/>
      <c r="K199" s="61"/>
      <c r="L199" s="61"/>
      <c r="M199" s="67"/>
      <c r="N199" s="67"/>
      <c r="O199" s="61"/>
      <c r="P199" s="61"/>
      <c r="Q199" s="61"/>
      <c r="R199" s="61"/>
      <c r="S199" s="61"/>
    </row>
    <row r="200" spans="3:19" ht="12.75">
      <c r="C200" s="66"/>
      <c r="D200" s="66"/>
      <c r="F200" s="61"/>
      <c r="G200" s="61"/>
      <c r="H200" s="61"/>
      <c r="I200" s="61"/>
      <c r="J200" s="61"/>
      <c r="K200" s="61"/>
      <c r="L200" s="61"/>
      <c r="M200" s="67"/>
      <c r="N200" s="67"/>
      <c r="O200" s="61"/>
      <c r="P200" s="61"/>
      <c r="Q200" s="61"/>
      <c r="R200" s="61"/>
      <c r="S200" s="61"/>
    </row>
    <row r="201" spans="3:19" ht="12.75">
      <c r="C201" s="66"/>
      <c r="D201" s="66"/>
      <c r="F201" s="61"/>
      <c r="G201" s="61"/>
      <c r="H201" s="61"/>
      <c r="I201" s="61"/>
      <c r="J201" s="61"/>
      <c r="K201" s="61"/>
      <c r="L201" s="61"/>
      <c r="M201" s="67"/>
      <c r="N201" s="67"/>
      <c r="O201" s="61"/>
      <c r="P201" s="61"/>
      <c r="Q201" s="61"/>
      <c r="R201" s="61"/>
      <c r="S201" s="61"/>
    </row>
    <row r="202" spans="3:19" ht="12.75">
      <c r="C202" s="66"/>
      <c r="D202" s="66"/>
      <c r="F202" s="61"/>
      <c r="G202" s="61"/>
      <c r="H202" s="61"/>
      <c r="I202" s="61"/>
      <c r="J202" s="61"/>
      <c r="K202" s="61"/>
      <c r="L202" s="61"/>
      <c r="M202" s="67"/>
      <c r="N202" s="67"/>
      <c r="O202" s="61"/>
      <c r="P202" s="61"/>
      <c r="Q202" s="61"/>
      <c r="R202" s="61"/>
      <c r="S202" s="61"/>
    </row>
    <row r="203" spans="3:19" ht="12.75">
      <c r="C203" s="66"/>
      <c r="D203" s="66"/>
      <c r="F203" s="61"/>
      <c r="G203" s="61"/>
      <c r="H203" s="61"/>
      <c r="I203" s="61"/>
      <c r="J203" s="61"/>
      <c r="K203" s="61"/>
      <c r="L203" s="61"/>
      <c r="M203" s="67"/>
      <c r="N203" s="67"/>
      <c r="O203" s="61"/>
      <c r="P203" s="61"/>
      <c r="Q203" s="61"/>
      <c r="R203" s="61"/>
      <c r="S203" s="61"/>
    </row>
    <row r="204" spans="3:19" ht="12.75">
      <c r="C204" s="66"/>
      <c r="D204" s="66"/>
      <c r="F204" s="61"/>
      <c r="G204" s="61"/>
      <c r="H204" s="61"/>
      <c r="I204" s="61"/>
      <c r="J204" s="61"/>
      <c r="K204" s="61"/>
      <c r="L204" s="61"/>
      <c r="M204" s="67"/>
      <c r="N204" s="67"/>
      <c r="O204" s="61"/>
      <c r="P204" s="61"/>
      <c r="Q204" s="61"/>
      <c r="R204" s="61"/>
      <c r="S204" s="61"/>
    </row>
    <row r="205" spans="3:19" ht="12.75">
      <c r="C205" s="66"/>
      <c r="D205" s="66"/>
      <c r="F205" s="61"/>
      <c r="G205" s="61"/>
      <c r="H205" s="61"/>
      <c r="I205" s="61"/>
      <c r="J205" s="61"/>
      <c r="K205" s="61"/>
      <c r="L205" s="61"/>
      <c r="M205" s="67"/>
      <c r="N205" s="67"/>
      <c r="O205" s="61"/>
      <c r="P205" s="61"/>
      <c r="Q205" s="61"/>
      <c r="R205" s="61"/>
      <c r="S205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AT2"/>
  <sheetViews>
    <sheetView workbookViewId="0" topLeftCell="AJ1">
      <selection activeCell="AQ2" sqref="AQ2"/>
    </sheetView>
  </sheetViews>
  <sheetFormatPr defaultColWidth="9.140625" defaultRowHeight="12.75"/>
  <cols>
    <col min="1" max="1" width="11.57421875" style="0" bestFit="1" customWidth="1"/>
    <col min="2" max="2" width="10.57421875" style="0" bestFit="1" customWidth="1"/>
  </cols>
  <sheetData>
    <row r="1" spans="1:4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45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  <c r="O1" t="s">
        <v>55</v>
      </c>
      <c r="P1" t="s">
        <v>56</v>
      </c>
      <c r="Q1" t="s">
        <v>57</v>
      </c>
      <c r="R1" t="s">
        <v>58</v>
      </c>
      <c r="S1" t="s">
        <v>13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  <c r="AC1" t="s">
        <v>6</v>
      </c>
      <c r="AD1" t="s">
        <v>68</v>
      </c>
      <c r="AE1" t="s">
        <v>69</v>
      </c>
      <c r="AF1" t="s">
        <v>70</v>
      </c>
      <c r="AG1" t="s">
        <v>71</v>
      </c>
      <c r="AH1" t="s">
        <v>72</v>
      </c>
      <c r="AI1" t="s">
        <v>73</v>
      </c>
      <c r="AJ1" t="s">
        <v>74</v>
      </c>
      <c r="AK1" t="s">
        <v>75</v>
      </c>
      <c r="AL1" t="s">
        <v>76</v>
      </c>
      <c r="AM1" t="s">
        <v>77</v>
      </c>
      <c r="AN1" t="s">
        <v>78</v>
      </c>
      <c r="AO1" t="s">
        <v>79</v>
      </c>
      <c r="AP1" t="s">
        <v>80</v>
      </c>
      <c r="AQ1" t="s">
        <v>81</v>
      </c>
      <c r="AR1" t="s">
        <v>82</v>
      </c>
      <c r="AS1" t="s">
        <v>83</v>
      </c>
      <c r="AT1" t="s">
        <v>84</v>
      </c>
    </row>
    <row r="2" spans="1:46" ht="12.75">
      <c r="A2" s="21">
        <f>Main!D6</f>
        <v>1051816.2650340772</v>
      </c>
      <c r="B2" s="21">
        <f>Main!C6</f>
        <v>803843.2695642215</v>
      </c>
      <c r="C2">
        <f>59+42/60+42.69689/3600</f>
        <v>59.711860247222226</v>
      </c>
      <c r="D2">
        <f>42+31/60+31.41725/3600</f>
        <v>42.52539368055555</v>
      </c>
      <c r="E2">
        <f>C2*PI()/180</f>
        <v>1.042168563804743</v>
      </c>
      <c r="F2">
        <f>D2*PI()/180</f>
        <v>0.7422081354324841</v>
      </c>
      <c r="G2">
        <f>PI()*11.5/180</f>
        <v>0.20071286397934787</v>
      </c>
      <c r="H2">
        <f>COS(G2)</f>
        <v>0.9799247046208296</v>
      </c>
      <c r="I2">
        <f>ATAN2(A2,B2)</f>
        <v>0.6525545161156534</v>
      </c>
      <c r="J2">
        <f>I2/H2</f>
        <v>0.6659231194381937</v>
      </c>
      <c r="K2">
        <f>SQRT(A2*A2+B2*B2)</f>
        <v>1323813.226030747</v>
      </c>
      <c r="L2">
        <v>6380065.5402</v>
      </c>
      <c r="M2">
        <f>L2*SIN(G2)/H2/POWER(TAN(G2/2),H2)</f>
        <v>12310230.127862332</v>
      </c>
      <c r="N2">
        <f>2*ATAN(POWER(K2/M2,1/H2))</f>
        <v>0.20475265815998164</v>
      </c>
      <c r="O2">
        <f>ASIN(COS(N2)*SIN(E2)-SIN(N2)*COS(E2)*COS(J2))</f>
        <v>0.8707700877840436</v>
      </c>
      <c r="P2">
        <f>ASIN(SIN(N2)*SIN(J2)/COS(O2))</f>
        <v>0.19623343532369641</v>
      </c>
      <c r="Q2">
        <v>6377397.155</v>
      </c>
      <c r="R2">
        <v>6356078.96325</v>
      </c>
      <c r="S2">
        <f>SQRT((Q2*Q2-R2*R2)/(Q2*Q2))</f>
        <v>0.08169683039650512</v>
      </c>
      <c r="T2">
        <f>SQRT((Q2*Q2-R2*R2)/(R2*R2))</f>
        <v>0.0819708403176892</v>
      </c>
      <c r="U2">
        <f>PI()*49.5/180</f>
        <v>0.8639379797371932</v>
      </c>
      <c r="V2">
        <f>SQRT(1+T2*T2*COS(U2)*COS(U2))</f>
        <v>1.0014160227611322</v>
      </c>
      <c r="W2">
        <f>ATAN2(V2,TAN(U2))</f>
        <v>0.863239102672573</v>
      </c>
      <c r="X2">
        <f>SIN(U2)/SIN(W2)</f>
        <v>1.0005974983594885</v>
      </c>
      <c r="Y2">
        <f>TAN(PI()/4+W2/2)/(POWER(TAN(PI()/4+U2/2),X2)*POWER((1-S2*SIN(U2))/(1+S2*SIN(U2)),X2*S2/2))</f>
        <v>1.0034191638979124</v>
      </c>
      <c r="Z2">
        <f>(F2-P2)/X2</f>
        <v>0.5456486759200684</v>
      </c>
      <c r="AA2">
        <f>2*ATAN(POWER(1/Y2*TAN(PI()/4+O2/2),1/X2))-PI()/2</f>
        <v>0.868180756470526</v>
      </c>
      <c r="AB2">
        <f>POWER((1-S2*SIN(AA2))/(1+S2*SIN(AA2)),X2*S2/2)</f>
        <v>0.9949097591094443</v>
      </c>
      <c r="AC2">
        <f>2*ATAN(POWER(1/Y2/AB2*TAN(PI()/4+O2/2),1/X2))-PI()/2</f>
        <v>0.8714701709598538</v>
      </c>
      <c r="AD2">
        <f>POWER((1-$S2*SIN(AC2))/(1+$S2*SIN(AC2)),$X2*$S2/2)</f>
        <v>0.9948956077629301</v>
      </c>
      <c r="AE2">
        <f>2*ATAN(POWER(1/$Y2/AD2*TAN(PI()/4+$O2/2),1/$X2))-PI()/2</f>
        <v>0.8714793213656069</v>
      </c>
      <c r="AF2">
        <f>POWER((1-$S2*SIN(AE2))/(1+$S2*SIN(AE2)),$X2*$S2/2)</f>
        <v>0.9948955684739089</v>
      </c>
      <c r="AG2">
        <f>2*ATAN(POWER(1/$Y2/AF2*TAN(PI()/4+$O2/2),1/$X2))-PI()/2</f>
        <v>0.8714793467703332</v>
      </c>
      <c r="AH2">
        <f>POWER((1-$S2*SIN(AG2))/(1+$S2*SIN(AG2)),$X2*$S2/2)</f>
        <v>0.9948955683648294</v>
      </c>
      <c r="AI2">
        <f>2*ATAN(POWER(1/$Y2/AH2*TAN(PI()/4+$O2/2),1/$X2))-PI()/2</f>
        <v>0.8714793468408653</v>
      </c>
      <c r="AJ2">
        <f>POWER((1-$S2*SIN(AI2))/(1+$S2*SIN(AI2)),$X2*$S2/2)</f>
        <v>0.9948955683645266</v>
      </c>
      <c r="AK2">
        <f>2*ATAN(POWER(1/$Y2/AJ2*TAN(PI()/4+$O2/2),1/$X2))-PI()/2</f>
        <v>0.8714793468410611</v>
      </c>
      <c r="AL2">
        <f>AK2*180/PI()</f>
        <v>49.93208850681043</v>
      </c>
      <c r="AM2">
        <f>Z2*180/PI()</f>
        <v>31.26336622712155</v>
      </c>
      <c r="AN2">
        <f>AM2-Parameters!D8</f>
        <v>13.596699560454883</v>
      </c>
      <c r="AO2">
        <f>TRUNC(AL2)</f>
        <v>49</v>
      </c>
      <c r="AP2">
        <f>TRUNC((AL2-AO2)*60)</f>
        <v>55</v>
      </c>
      <c r="AQ2">
        <f>3600*(AL2-AO2-AP2/60)</f>
        <v>55.51862451754928</v>
      </c>
      <c r="AR2">
        <f>TRUNC(AN2)</f>
        <v>13</v>
      </c>
      <c r="AS2">
        <f>TRUNC((AN2-AR2)*60)</f>
        <v>35</v>
      </c>
      <c r="AT2">
        <f>3600*(AN2-AR2-AS2/60)</f>
        <v>48.1184176375804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1:AG4"/>
  <sheetViews>
    <sheetView workbookViewId="0" topLeftCell="S1">
      <selection activeCell="AG2" sqref="AG2"/>
    </sheetView>
  </sheetViews>
  <sheetFormatPr defaultColWidth="9.140625" defaultRowHeight="12.75"/>
  <cols>
    <col min="32" max="32" width="11.7109375" style="0" customWidth="1"/>
    <col min="33" max="33" width="12.28125" style="0" customWidth="1"/>
  </cols>
  <sheetData>
    <row r="1" spans="1:33" ht="12.75">
      <c r="A1" t="s">
        <v>76</v>
      </c>
      <c r="B1" t="s">
        <v>86</v>
      </c>
      <c r="C1" t="s">
        <v>87</v>
      </c>
      <c r="D1" t="s">
        <v>75</v>
      </c>
      <c r="E1" t="s">
        <v>65</v>
      </c>
      <c r="F1" t="s">
        <v>57</v>
      </c>
      <c r="G1" t="s">
        <v>58</v>
      </c>
      <c r="H1" t="s">
        <v>13</v>
      </c>
      <c r="I1" t="s">
        <v>59</v>
      </c>
      <c r="J1" t="s">
        <v>44</v>
      </c>
      <c r="K1" t="s">
        <v>45</v>
      </c>
      <c r="L1" t="s">
        <v>46</v>
      </c>
      <c r="M1" t="s">
        <v>88</v>
      </c>
      <c r="N1" t="s">
        <v>89</v>
      </c>
      <c r="O1" t="s">
        <v>90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67</v>
      </c>
      <c r="V1" t="s">
        <v>55</v>
      </c>
      <c r="W1" t="s">
        <v>56</v>
      </c>
      <c r="X1" t="s">
        <v>54</v>
      </c>
      <c r="Y1" t="s">
        <v>50</v>
      </c>
      <c r="Z1" t="s">
        <v>47</v>
      </c>
      <c r="AA1" t="s">
        <v>48</v>
      </c>
      <c r="AB1" t="s">
        <v>52</v>
      </c>
      <c r="AC1" t="s">
        <v>53</v>
      </c>
      <c r="AD1" t="s">
        <v>51</v>
      </c>
      <c r="AE1" t="s">
        <v>49</v>
      </c>
      <c r="AF1" t="s">
        <v>42</v>
      </c>
      <c r="AG1" t="s">
        <v>43</v>
      </c>
    </row>
    <row r="2" spans="1:33" ht="12.75">
      <c r="A2">
        <f>Main!G12</f>
        <v>49.93208856401401</v>
      </c>
      <c r="B2">
        <f>Main!H12</f>
        <v>13.59669981596491</v>
      </c>
      <c r="C2">
        <f>B2+Parameters!D8</f>
        <v>31.26336648263158</v>
      </c>
      <c r="D2">
        <f>A2*PI()/180</f>
        <v>0.8714793478394518</v>
      </c>
      <c r="E2">
        <f>C2*PI()/180</f>
        <v>0.5456486803795596</v>
      </c>
      <c r="F2">
        <v>6377397.155</v>
      </c>
      <c r="G2">
        <v>6356078.96325</v>
      </c>
      <c r="H2">
        <f>SQRT((F2*F2-G2*G2)/(F2*F2))</f>
        <v>0.08169683039650512</v>
      </c>
      <c r="I2">
        <f>SQRT((F2*F2-G2*G2)/(G2*G2))</f>
        <v>0.0819708403176892</v>
      </c>
      <c r="J2">
        <f>59+42/60+42.69689/3600</f>
        <v>59.711860247222226</v>
      </c>
      <c r="K2">
        <f>42+31/60+31.41725/3600</f>
        <v>42.52539368055555</v>
      </c>
      <c r="L2">
        <f aca="true" t="shared" si="0" ref="L2:M4">J2*PI()/180</f>
        <v>1.042168563804743</v>
      </c>
      <c r="M2">
        <f t="shared" si="0"/>
        <v>0.7422081354324841</v>
      </c>
      <c r="N2">
        <v>1298039.0046</v>
      </c>
      <c r="O2">
        <f>49.5</f>
        <v>49.5</v>
      </c>
      <c r="P2">
        <f>O2*PI()/180</f>
        <v>0.8639379797371932</v>
      </c>
      <c r="Q2">
        <f>SQRT(1+I2*I2*COS(P2)*COS(P2))</f>
        <v>1.0014160227611322</v>
      </c>
      <c r="R2">
        <f>ATAN2(Q2,TAN(P2))</f>
        <v>0.863239102672573</v>
      </c>
      <c r="S2">
        <f>SIN(P2)/SIN(R2)</f>
        <v>1.0005974983594885</v>
      </c>
      <c r="T2">
        <f>(TAN(PI()/4+R2/2))/(POWER(TAN(PI()/4+P2/2),S2)*POWER(((1-H2*SIN(P2))/(1+H2*SIN(P2))),(S2*H2/2)))</f>
        <v>1.0034191638979124</v>
      </c>
      <c r="U2">
        <f>ATAN(T2*POWER(TAN(PI()/4+D2/2),S2)*POWER(((1-H2*SIN(D2))/(1+H2*SIN(D2))),S2*H2/2))</f>
        <v>1.2207832077879963</v>
      </c>
      <c r="V2">
        <f>(U2-PI()/4)*2</f>
        <v>0.8707700887810961</v>
      </c>
      <c r="W2">
        <f>M2-S2*E2</f>
        <v>0.19623343086154066</v>
      </c>
      <c r="X2">
        <f>ACOS(SIN(V2)*SIN(L2)+COS(V2)*COS(L2)*COS(W2))</f>
        <v>0.20475265589697988</v>
      </c>
      <c r="Y2">
        <f>ASIN(COS(V2)*SIN(W2)/SIN(X2))</f>
        <v>0.6659231094349668</v>
      </c>
      <c r="Z2">
        <f>PI()*11.5/180</f>
        <v>0.20071286397934787</v>
      </c>
      <c r="AA2">
        <f>COS(Z2)</f>
        <v>0.9799247046208296</v>
      </c>
      <c r="AB2">
        <v>6380065.5402</v>
      </c>
      <c r="AC2">
        <f>AB2*SIN(Z2)/AA2/POWER(TAN(Z2/2),AA2)</f>
        <v>12310230.127862332</v>
      </c>
      <c r="AD2">
        <f>AC2*POWER(TAN(X2/2),AA2)</f>
        <v>1323813.2115925304</v>
      </c>
      <c r="AE2">
        <f>AA2*Y2</f>
        <v>0.6525545063132442</v>
      </c>
      <c r="AF2" s="21">
        <f>AD2*COS(AE2)</f>
        <v>1051816.2614420059</v>
      </c>
      <c r="AG2" s="21">
        <f>AD2*SIN(AE2)</f>
        <v>803843.2504867425</v>
      </c>
    </row>
    <row r="3" spans="1:33" ht="12.75">
      <c r="A3">
        <f>Main!G17</f>
        <v>49.93208850936938</v>
      </c>
      <c r="B3">
        <f>Main!H17</f>
        <v>13.596699560486533</v>
      </c>
      <c r="C3">
        <f>B3+Parameters!D8</f>
        <v>31.2633662271532</v>
      </c>
      <c r="D3">
        <f>A3*PI()/180</f>
        <v>0.8714793468857231</v>
      </c>
      <c r="E3">
        <f>C3*PI()/180</f>
        <v>0.5456486759206208</v>
      </c>
      <c r="F3">
        <v>6377397.155</v>
      </c>
      <c r="G3">
        <v>6356078.96325</v>
      </c>
      <c r="H3">
        <f>SQRT((F3*F3-G3*G3)/(F3*F3))</f>
        <v>0.08169683039650512</v>
      </c>
      <c r="I3">
        <f>SQRT((F3*F3-G3*G3)/(G3*G3))</f>
        <v>0.0819708403176892</v>
      </c>
      <c r="J3">
        <f>59+42/60+42.69689/3600</f>
        <v>59.711860247222226</v>
      </c>
      <c r="K3">
        <f>42+31/60+31.41725/3600</f>
        <v>42.52539368055555</v>
      </c>
      <c r="L3">
        <f t="shared" si="0"/>
        <v>1.042168563804743</v>
      </c>
      <c r="M3">
        <f t="shared" si="0"/>
        <v>0.7422081354324841</v>
      </c>
      <c r="N3">
        <v>1298039.0046</v>
      </c>
      <c r="O3">
        <f>49.5</f>
        <v>49.5</v>
      </c>
      <c r="P3">
        <f>O3*PI()/180</f>
        <v>0.8639379797371932</v>
      </c>
      <c r="Q3">
        <f>SQRT(1+I3*I3*COS(P3)*COS(P3))</f>
        <v>1.0014160227611322</v>
      </c>
      <c r="R3">
        <f>ATAN2(Q3,TAN(P3))</f>
        <v>0.863239102672573</v>
      </c>
      <c r="S3">
        <f>SIN(P3)/SIN(R3)</f>
        <v>1.0005974983594885</v>
      </c>
      <c r="T3">
        <f>(TAN(PI()/4+R3/2))/(POWER(TAN(PI()/4+P3/2),S3)*POWER(((1-H3*SIN(P3))/(1+H3*SIN(P3))),(S3*H3/2)))</f>
        <v>1.0034191638979124</v>
      </c>
      <c r="U3">
        <f>ATAN(T3*POWER(TAN(PI()/4+D3/2),S3)*POWER(((1-H3*SIN(D3))/(1+H3*SIN(D3))),S3*H3/2))</f>
        <v>1.2207832073117708</v>
      </c>
      <c r="V3">
        <f>(U3-PI()/4)*2</f>
        <v>0.8707700878286451</v>
      </c>
      <c r="W3">
        <f>M3-S3*E3</f>
        <v>0.19623343532314363</v>
      </c>
      <c r="X3">
        <f>ACOS(SIN(V3)*SIN(L3)+COS(V3)*COS(L3)*COS(W3))</f>
        <v>0.2047526581207717</v>
      </c>
      <c r="Y3">
        <f>ASIN(COS(V3)*SIN(W3)/SIN(X3))</f>
        <v>0.6659231195427506</v>
      </c>
      <c r="Z3">
        <f>PI()*11.5/180</f>
        <v>0.20071286397934787</v>
      </c>
      <c r="AA3">
        <f>COS(Z3)</f>
        <v>0.9799247046208296</v>
      </c>
      <c r="AB3">
        <v>6380065.5402</v>
      </c>
      <c r="AC3">
        <f>AB3*SIN(Z3)/AA3/POWER(TAN(Z3/2),AA3)</f>
        <v>12310230.127862332</v>
      </c>
      <c r="AD3">
        <f>AC3*POWER(TAN(X3/2),AA3)</f>
        <v>1323813.225780583</v>
      </c>
      <c r="AE3">
        <f>AA3*Y3</f>
        <v>0.6525545162181113</v>
      </c>
      <c r="AF3" s="21">
        <f>AD3*COS(AE3)</f>
        <v>1051816.264752953</v>
      </c>
      <c r="AG3" s="21">
        <f>AD3*SIN(AE3)</f>
        <v>803843.2695200843</v>
      </c>
    </row>
    <row r="4" spans="1:33" ht="12.75">
      <c r="A4">
        <f>Main!G29</f>
        <v>49.932088506810494</v>
      </c>
      <c r="B4">
        <f>Main!H29</f>
        <v>13.59669956045488</v>
      </c>
      <c r="C4">
        <f>B4+Parameters!D8</f>
        <v>31.263366227121548</v>
      </c>
      <c r="D4">
        <f>A4*PI()/180</f>
        <v>0.8714793468410622</v>
      </c>
      <c r="E4">
        <f>C4*PI()/180</f>
        <v>0.5456486759200683</v>
      </c>
      <c r="F4">
        <v>6377397.155</v>
      </c>
      <c r="G4">
        <v>6356078.96325</v>
      </c>
      <c r="H4">
        <f>SQRT((F4*F4-G4*G4)/(F4*F4))</f>
        <v>0.08169683039650512</v>
      </c>
      <c r="I4">
        <f>SQRT((F4*F4-G4*G4)/(G4*G4))</f>
        <v>0.0819708403176892</v>
      </c>
      <c r="J4">
        <f>59+42/60+42.69689/3600</f>
        <v>59.711860247222226</v>
      </c>
      <c r="K4">
        <f>42+31/60+31.41725/3600</f>
        <v>42.52539368055555</v>
      </c>
      <c r="L4">
        <f t="shared" si="0"/>
        <v>1.042168563804743</v>
      </c>
      <c r="M4">
        <f t="shared" si="0"/>
        <v>0.7422081354324841</v>
      </c>
      <c r="N4">
        <v>1298039.0046</v>
      </c>
      <c r="O4">
        <f>49.5</f>
        <v>49.5</v>
      </c>
      <c r="P4">
        <f>O4*PI()/180</f>
        <v>0.8639379797371932</v>
      </c>
      <c r="Q4">
        <f>SQRT(1+I4*I4*COS(P4)*COS(P4))</f>
        <v>1.0014160227611322</v>
      </c>
      <c r="R4">
        <f>ATAN2(Q4,TAN(P4))</f>
        <v>0.863239102672573</v>
      </c>
      <c r="S4">
        <f>SIN(P4)/SIN(R4)</f>
        <v>1.0005974983594885</v>
      </c>
      <c r="T4">
        <f>(TAN(PI()/4+R4/2))/(POWER(TAN(PI()/4+P4/2),S4)*POWER(((1-H4*SIN(P4))/(1+H4*SIN(P4))),(S4*H4/2)))</f>
        <v>1.0034191638979124</v>
      </c>
      <c r="U4">
        <f>ATAN(T4*POWER(TAN(PI()/4+D4/2),S4)*POWER(((1-H4*SIN(D4))/(1+H4*SIN(D4))),S4*H4/2))</f>
        <v>1.2207832072894704</v>
      </c>
      <c r="V4">
        <f>(U4-PI()/4)*2</f>
        <v>0.8707700877840443</v>
      </c>
      <c r="W4">
        <f>M4-S4*E4</f>
        <v>0.19623343532369653</v>
      </c>
      <c r="X4">
        <f>ACOS(SIN(V4)*SIN(L4)+COS(V4)*COS(L4)*COS(W4))</f>
        <v>0.20475265815998167</v>
      </c>
      <c r="Y4">
        <f>ASIN(COS(V4)*SIN(W4)/SIN(X4))</f>
        <v>0.6659231194381937</v>
      </c>
      <c r="Z4">
        <f>PI()*11.5/180</f>
        <v>0.20071286397934787</v>
      </c>
      <c r="AA4">
        <f>COS(Z4)</f>
        <v>0.9799247046208296</v>
      </c>
      <c r="AB4">
        <v>6380065.5402</v>
      </c>
      <c r="AC4">
        <f>AB4*SIN(Z4)/AA4/POWER(TAN(Z4/2),AA4)</f>
        <v>12310230.127862332</v>
      </c>
      <c r="AD4">
        <f>AC4*POWER(TAN(X4/2),AA4)</f>
        <v>1323813.2260307472</v>
      </c>
      <c r="AE4">
        <f>AA4*Y4</f>
        <v>0.6525545161156534</v>
      </c>
      <c r="AF4" s="21">
        <f>AD4*COS(AE4)</f>
        <v>1051816.2650340772</v>
      </c>
      <c r="AG4" s="21">
        <f>AD4*SIN(AE4)</f>
        <v>803843.2695642215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AD4"/>
  <sheetViews>
    <sheetView workbookViewId="0" topLeftCell="O1">
      <selection activeCell="AD2" sqref="AD2"/>
    </sheetView>
  </sheetViews>
  <sheetFormatPr defaultColWidth="9.140625" defaultRowHeight="12.75"/>
  <sheetData>
    <row r="1" spans="1:30" ht="12.75">
      <c r="A1" s="53" t="s">
        <v>161</v>
      </c>
      <c r="B1" t="s">
        <v>91</v>
      </c>
      <c r="C1" t="s">
        <v>92</v>
      </c>
      <c r="D1" t="s">
        <v>57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44</v>
      </c>
      <c r="K1" t="s">
        <v>98</v>
      </c>
      <c r="L1" t="s">
        <v>99</v>
      </c>
      <c r="M1" t="s">
        <v>42</v>
      </c>
      <c r="N1" t="s">
        <v>43</v>
      </c>
      <c r="O1" t="s">
        <v>13</v>
      </c>
      <c r="P1" t="s">
        <v>100</v>
      </c>
      <c r="Q1" t="s">
        <v>11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55</v>
      </c>
      <c r="AC1" t="s">
        <v>111</v>
      </c>
      <c r="AD1" t="s">
        <v>174</v>
      </c>
    </row>
    <row r="2" spans="2:30" ht="12.75">
      <c r="B2" s="23">
        <f>Main!C11</f>
        <v>3399306.2312135673</v>
      </c>
      <c r="C2" s="23">
        <f>Main!D11</f>
        <v>5534301.679692035</v>
      </c>
      <c r="D2">
        <f>6378245</f>
        <v>6378245</v>
      </c>
      <c r="E2">
        <f>0.0818133340169312</f>
        <v>0.0818133340169312</v>
      </c>
      <c r="F2">
        <f>500000+TRUNC(B2/1000000)*1000000</f>
        <v>3500000</v>
      </c>
      <c r="G2">
        <v>0</v>
      </c>
      <c r="H2">
        <f>21+6*(TRUNC(B2/1000000)-4)</f>
        <v>15</v>
      </c>
      <c r="I2">
        <f>H2*PI()/180</f>
        <v>0.2617993877991494</v>
      </c>
      <c r="J2">
        <v>0</v>
      </c>
      <c r="K2">
        <f>J2*PI()/180</f>
        <v>0</v>
      </c>
      <c r="L2">
        <f>1</f>
        <v>1</v>
      </c>
      <c r="M2">
        <f>B2-F2</f>
        <v>-100693.76878643269</v>
      </c>
      <c r="N2">
        <f>C2-G2</f>
        <v>5534301.679692035</v>
      </c>
      <c r="O2">
        <f>(1-SQRT(1-E2*E2))/(1+SQRT(1-E2*E2))</f>
        <v>0.0016789791806581683</v>
      </c>
      <c r="P2">
        <f>D2*(K2*(1-E2*E2/4-3*POWER(E2,4)/64-5*POWER(E2,6)/256)-SIN(2*K2)*(3*E2*E2/8+3*POWER(E2,4)/32+45*POWER(E2,6)/1024)+SIN(4*K2)*(15*POWER(E2,4)/256+45*POWER(E2,6)/1024)-SIN(6*K2)*35*POWER(E2,6)/3072)</f>
        <v>0</v>
      </c>
      <c r="Q2">
        <f>P2+N2/L2</f>
        <v>5534301.679692035</v>
      </c>
      <c r="R2">
        <f>Q2/(D2*(1-E2*E2/4-3*POWER(E2,4)/64-5*POWER(E2,6)/256))</f>
        <v>0.8691402964399562</v>
      </c>
      <c r="S2">
        <f>R2+SIN(2*R2)*(3*O2/2-27*POWER(O2,3)/32)+SIN(4*R2)*(21*O2*O2/16-55*POWER(O2,4)/32)+SIN(6*R2)*151*POWER(O2,3)/96+SIN(8*R2)*1097*POWER(O2,4)/512</f>
        <v>0.8716222981958641</v>
      </c>
      <c r="T2">
        <f>E2*E2/(1-E2*E2)</f>
        <v>0.006738525414683499</v>
      </c>
      <c r="U2">
        <f>T2*COS(S2)*COS(S2)</f>
        <v>0.0027911146902062124</v>
      </c>
      <c r="V2">
        <f>TAN(S2)*TAN(S2)</f>
        <v>1.4142775065203947</v>
      </c>
      <c r="W2">
        <f>D2/SQRT(1-E2*E2*SIN(S2)*SIN(S2))</f>
        <v>6390786.407485794</v>
      </c>
      <c r="X2">
        <f>D2*(1-E2*E2)/POWER(1-E2*E2*SIN(S2)*SIN(S2),1.5)</f>
        <v>6372998.637368372</v>
      </c>
      <c r="Y2">
        <f>M2/(W2*L2)</f>
        <v>-0.015756084207177678</v>
      </c>
      <c r="Z2">
        <f>S2-(W2*TAN(S2)/X2)*(Y2*Y2/2-(5+3*V2+10*U2-4*U2*U2-9*T2)*POWER(Y2,4)/24+(61+90*V2+298*U2+45*V2*V2-252*T2-3*U2*U2)*POWER(Y2,6)/720)</f>
        <v>0.8714742982185486</v>
      </c>
      <c r="AA2">
        <f>I2+(Y2-(1+2*V2+U2)*POWER(Y2,3)/6+(5-2*U2+28*V2-3*U2*U2+8*T2+24*V2*V2)*POWER(Y2,5)/120)/COS(S2)</f>
        <v>0.23732154980401982</v>
      </c>
      <c r="AB2" s="24">
        <f>Z2*180/PI()</f>
        <v>49.93179924204811</v>
      </c>
      <c r="AC2" s="24">
        <f>AA2*180/PI()</f>
        <v>13.597523191274105</v>
      </c>
      <c r="AD2">
        <f>(6*(F2-1500000)/1000000)/6+31</f>
        <v>33</v>
      </c>
    </row>
    <row r="4" spans="1:8" ht="12.75">
      <c r="A4" s="53"/>
      <c r="B4" s="77"/>
      <c r="C4" s="77"/>
      <c r="F4" s="53"/>
      <c r="H4" s="5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Z4"/>
  <sheetViews>
    <sheetView workbookViewId="0" topLeftCell="A1">
      <selection activeCell="A4" sqref="A4"/>
    </sheetView>
  </sheetViews>
  <sheetFormatPr defaultColWidth="9.140625" defaultRowHeight="12.75"/>
  <sheetData>
    <row r="1" spans="1:26" ht="12.75">
      <c r="A1" s="53" t="s">
        <v>161</v>
      </c>
      <c r="B1" t="s">
        <v>55</v>
      </c>
      <c r="C1" t="s">
        <v>111</v>
      </c>
      <c r="D1" t="s">
        <v>57</v>
      </c>
      <c r="E1" t="s">
        <v>93</v>
      </c>
      <c r="F1" s="53" t="s">
        <v>94</v>
      </c>
      <c r="G1" t="s">
        <v>95</v>
      </c>
      <c r="H1" s="53" t="s">
        <v>96</v>
      </c>
      <c r="I1" t="s">
        <v>97</v>
      </c>
      <c r="J1" t="s">
        <v>44</v>
      </c>
      <c r="K1" t="s">
        <v>98</v>
      </c>
      <c r="L1" t="s">
        <v>99</v>
      </c>
      <c r="M1" t="s">
        <v>109</v>
      </c>
      <c r="N1" t="s">
        <v>110</v>
      </c>
      <c r="O1" t="s">
        <v>103</v>
      </c>
      <c r="P1" t="s">
        <v>12</v>
      </c>
      <c r="Q1" t="s">
        <v>112</v>
      </c>
      <c r="R1" t="s">
        <v>113</v>
      </c>
      <c r="S1" t="s">
        <v>114</v>
      </c>
      <c r="T1" t="s">
        <v>11</v>
      </c>
      <c r="U1" t="s">
        <v>100</v>
      </c>
      <c r="V1" t="s">
        <v>42</v>
      </c>
      <c r="W1" t="s">
        <v>43</v>
      </c>
      <c r="X1" t="s">
        <v>91</v>
      </c>
      <c r="Y1" t="s">
        <v>92</v>
      </c>
      <c r="Z1" t="s">
        <v>162</v>
      </c>
    </row>
    <row r="2" spans="2:26" ht="12.75">
      <c r="B2" s="23">
        <f>Main!G7</f>
        <v>49.9317989716542</v>
      </c>
      <c r="C2" s="23">
        <f>Main!H7</f>
        <v>13.597523173619942</v>
      </c>
      <c r="D2">
        <f>6378245</f>
        <v>6378245</v>
      </c>
      <c r="E2">
        <f>0.0818133340169312</f>
        <v>0.0818133340169312</v>
      </c>
      <c r="F2" s="75">
        <f>1500000+((TRUNC(C2/6)*1000000))</f>
        <v>3500000</v>
      </c>
      <c r="G2">
        <v>0</v>
      </c>
      <c r="H2" s="75">
        <f>6*(0.5+TRUNC(C2/6))</f>
        <v>15</v>
      </c>
      <c r="I2">
        <f>H2*PI()/180</f>
        <v>0.2617993877991494</v>
      </c>
      <c r="J2">
        <v>0</v>
      </c>
      <c r="K2">
        <f>J2*PI()/180</f>
        <v>0</v>
      </c>
      <c r="L2">
        <f>1</f>
        <v>1</v>
      </c>
      <c r="M2">
        <f aca="true" t="shared" si="0" ref="M2:N4">B2*PI()/180</f>
        <v>0.8714742934992846</v>
      </c>
      <c r="N2">
        <f t="shared" si="0"/>
        <v>0.23732154949589657</v>
      </c>
      <c r="O2">
        <f>E2*E2/(1-E2*E2)</f>
        <v>0.006738525414683499</v>
      </c>
      <c r="P2">
        <f>D2/SQRT(1-E2*E2*SIN(M2)*SIN(M2))</f>
        <v>6390783.27654257</v>
      </c>
      <c r="Q2">
        <f>TAN(M2)*TAN(M2)</f>
        <v>1.413427899039469</v>
      </c>
      <c r="R2">
        <f>O2*COS(M2)*COS(M2)</f>
        <v>0.0027920972560918</v>
      </c>
      <c r="S2">
        <f>(N2-I2)*COS(M2)</f>
        <v>-0.015756360079249646</v>
      </c>
      <c r="T2">
        <f>D2*(M2*(1-E2*E2/4-3*POWER(E2,4)/64-5*POWER(E2,6)/256)-SIN(2*M2)*(3*E2*E2/8+3*POWER(E2,4)/32+45*POWER(E2,6)/1024)+SIN(4*M2)*(15*POWER(E2,4)/256+45*POWER(E2,6)/1024)-SIN(6*M2)*35*POWER(E2,6)/3072)</f>
        <v>5533358.446940002</v>
      </c>
      <c r="U2">
        <f>D2*K2*((1-E2*E2/4-3*POWER(E2,4)/64-5*POWER(E2,6)/256)-SIN(2*K2)*(3*E2*E2/8+3*POWER(E2,4)/32+45*POWER(E2,6)/1024)+SIN(4*K2)*(15*POWER(E2,4)/256+45*POWER(E2,6)/1024)-SIN(6*K2)*35*POWER(E2,6)/3072)</f>
        <v>0</v>
      </c>
      <c r="V2">
        <f>L2*P2*(S2+(1-Q2+R2)*POWER(S2,3)/6+(5-18*Q2+Q2*Q2+72*R2-85*O2)*POWER(S2,5)/120)</f>
        <v>-100693.77060981936</v>
      </c>
      <c r="W2">
        <f>L2*(T2-U2+P2*TAN(M2)*(S2*S2/2+(5-Q2+9*R2+4*R2*R2)*POWER(S2,4)/24+(61-58*Q2+Q2*Q2+600*R2-330*O2)*POWER(S2,6)/720))</f>
        <v>5534301.64992588</v>
      </c>
      <c r="X2" s="24">
        <f aca="true" t="shared" si="1" ref="X2:Y4">V2+F2</f>
        <v>3399306.2293901807</v>
      </c>
      <c r="Y2" s="24">
        <f t="shared" si="1"/>
        <v>5534301.64992588</v>
      </c>
      <c r="Z2">
        <f>(6*(F2-1500000)/1000000)/6+31</f>
        <v>33</v>
      </c>
    </row>
    <row r="3" spans="2:26" ht="12.75">
      <c r="B3" s="23">
        <f>Main!G18</f>
        <v>49.93179924204945</v>
      </c>
      <c r="C3" s="23">
        <f>Main!H18</f>
        <v>13.597523191274675</v>
      </c>
      <c r="D3">
        <f>6378245</f>
        <v>6378245</v>
      </c>
      <c r="E3">
        <f>0.0818133340169312</f>
        <v>0.0818133340169312</v>
      </c>
      <c r="F3" s="75">
        <f>1500000+((TRUNC(C3/6)*1000000))</f>
        <v>3500000</v>
      </c>
      <c r="G3">
        <v>0</v>
      </c>
      <c r="H3" s="75">
        <f>6*(0.5+TRUNC(C3/6))</f>
        <v>15</v>
      </c>
      <c r="I3">
        <f>H3*PI()/180</f>
        <v>0.2617993877991494</v>
      </c>
      <c r="J3">
        <v>0</v>
      </c>
      <c r="K3">
        <f>J3*PI()/180</f>
        <v>0</v>
      </c>
      <c r="L3">
        <f>1</f>
        <v>1</v>
      </c>
      <c r="M3">
        <f t="shared" si="0"/>
        <v>0.8714742982185719</v>
      </c>
      <c r="N3">
        <f t="shared" si="0"/>
        <v>0.23732154980402978</v>
      </c>
      <c r="O3">
        <f>E3*E3/(1-E3*E3)</f>
        <v>0.006738525414683499</v>
      </c>
      <c r="P3">
        <f>D3/SQRT(1-E3*E3*SIN(M3)*SIN(M3))</f>
        <v>6390783.276642406</v>
      </c>
      <c r="Q3">
        <f>TAN(M3)*TAN(M3)</f>
        <v>1.413427926121272</v>
      </c>
      <c r="R3">
        <f>O3*COS(M3)*COS(M3)</f>
        <v>0.002792097224760834</v>
      </c>
      <c r="S3">
        <f>(N3-I3)*COS(M3)</f>
        <v>-0.015756359792501166</v>
      </c>
      <c r="T3">
        <f>D3*(M3*(1-E3*E3/4-3*POWER(E3,4)/64-5*POWER(E3,6)/256)-SIN(2*M3)*(3*E3*E3/8+3*POWER(E3,4)/32+45*POWER(E3,6)/1024)+SIN(4*M3)*(15*POWER(E3,4)/256+45*POWER(E3,6)/1024)-SIN(6*M3)*35*POWER(E3,6)/3072)</f>
        <v>5533358.477015969</v>
      </c>
      <c r="U3">
        <f>D3*K3*((1-E3*E3/4-3*POWER(E3,4)/64-5*POWER(E3,6)/256)-SIN(2*K3)*(3*E3*E3/8+3*POWER(E3,4)/32+45*POWER(E3,6)/1024)+SIN(4*K3)*(15*POWER(E3,4)/256+45*POWER(E3,6)/1024)-SIN(6*K3)*35*POWER(E3,6)/3072)</f>
        <v>0</v>
      </c>
      <c r="V3">
        <f>L3*P3*(S3+(1-Q3+R3)*POWER(S3,3)/6+(5-18*Q3+Q3*Q3+72*R3-85*O3)*POWER(S3,5)/120)</f>
        <v>-100693.76877882551</v>
      </c>
      <c r="W3">
        <f>L3*(T3-U3+P3*TAN(M3)*(S3*S3/2+(5-Q3+9*R3+4*R3*R3)*POWER(S3,4)/24+(61-58*Q3+Q3*Q3+600*R3-330*O3)*POWER(S3,6)/720))</f>
        <v>5534301.679976565</v>
      </c>
      <c r="X3" s="24">
        <f t="shared" si="1"/>
        <v>3399306.2312211744</v>
      </c>
      <c r="Y3" s="24">
        <f t="shared" si="1"/>
        <v>5534301.679976565</v>
      </c>
      <c r="Z3">
        <f>(6*(F3-1500000)/1000000)/6+31</f>
        <v>33</v>
      </c>
    </row>
    <row r="4" spans="1:26" ht="12.75">
      <c r="A4" s="53">
        <f>IF(Main!$E$30&gt;0,(Main!$E$30-31)*6,C4)</f>
        <v>12</v>
      </c>
      <c r="B4" s="74">
        <f>Main!G30</f>
        <v>49.9317992394909</v>
      </c>
      <c r="C4" s="74">
        <f>Main!H30</f>
        <v>13.597523191242983</v>
      </c>
      <c r="D4">
        <f>6378245</f>
        <v>6378245</v>
      </c>
      <c r="E4">
        <f>0.0818133340169312</f>
        <v>0.0818133340169312</v>
      </c>
      <c r="F4" s="53">
        <f>1500000+((TRUNC(A4/6)*1000000))</f>
        <v>3500000</v>
      </c>
      <c r="G4">
        <v>0</v>
      </c>
      <c r="H4" s="53">
        <f>6*(0.5+TRUNC(A4/6))</f>
        <v>15</v>
      </c>
      <c r="I4">
        <f>H4*PI()/180</f>
        <v>0.2617993877991494</v>
      </c>
      <c r="J4">
        <v>0</v>
      </c>
      <c r="K4">
        <f>J4*PI()/180</f>
        <v>0</v>
      </c>
      <c r="L4">
        <f>1</f>
        <v>1</v>
      </c>
      <c r="M4">
        <f t="shared" si="0"/>
        <v>0.8714742981739169</v>
      </c>
      <c r="N4">
        <f t="shared" si="0"/>
        <v>0.23732154980347664</v>
      </c>
      <c r="O4">
        <f>E4*E4/(1-E4*E4)</f>
        <v>0.006738525414683499</v>
      </c>
      <c r="P4">
        <f>D4/SQRT(1-E4*E4*SIN(M4)*SIN(M4))</f>
        <v>6390783.276641462</v>
      </c>
      <c r="Q4">
        <f>TAN(M4)*TAN(M4)</f>
        <v>1.4134279258650173</v>
      </c>
      <c r="R4">
        <f>O4*COS(M4)*COS(M4)</f>
        <v>0.002792097225057295</v>
      </c>
      <c r="S4">
        <f>(N4-I4)*COS(M4)</f>
        <v>-0.01575635979369372</v>
      </c>
      <c r="T4">
        <f>D4*(M4*(1-E4*E4/4-3*POWER(E4,4)/64-5*POWER(E4,6)/256)-SIN(2*M4)*(3*E4*E4/8+3*POWER(E4,4)/32+45*POWER(E4,6)/1024)+SIN(4*M4)*(15*POWER(E4,4)/256+45*POWER(E4,6)/1024)-SIN(6*M4)*35*POWER(E4,6)/3072)</f>
        <v>5533358.476731382</v>
      </c>
      <c r="U4">
        <f>D4*K4*((1-E4*E4/4-3*POWER(E4,4)/64-5*POWER(E4,6)/256)-SIN(2*K4)*(3*E4*E4/8+3*POWER(E4,4)/32+45*POWER(E4,6)/1024)+SIN(4*K4)*(15*POWER(E4,4)/256+45*POWER(E4,6)/1024)-SIN(6*K4)*35*POWER(E4,6)/3072)</f>
        <v>0</v>
      </c>
      <c r="V4">
        <f>L4*P4*(S4+(1-Q4+R4)*POWER(S4,3)/6+(5-18*Q4+Q4*Q4+72*R4-85*O4)*POWER(S4,5)/120)</f>
        <v>-100693.76878643264</v>
      </c>
      <c r="W4">
        <f>L4*(T4-U4+P4*TAN(M4)*(S4*S4/2+(5-Q4+9*R4+4*R4*R4)*POWER(S4,4)/24+(61-58*Q4+Q4*Q4+600*R4-330*O4)*POWER(S4,6)/720))</f>
        <v>5534301.679692035</v>
      </c>
      <c r="X4" s="24">
        <f t="shared" si="1"/>
        <v>3399306.2312135673</v>
      </c>
      <c r="Y4" s="24">
        <f t="shared" si="1"/>
        <v>5534301.679692035</v>
      </c>
      <c r="Z4">
        <f>(6*(F4-1500000)/1000000)/6+31</f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AC2"/>
  <sheetViews>
    <sheetView workbookViewId="0" topLeftCell="A1">
      <selection activeCell="A2" sqref="A2"/>
    </sheetView>
  </sheetViews>
  <sheetFormatPr defaultColWidth="9.140625" defaultRowHeight="12.75"/>
  <sheetData>
    <row r="1" spans="1:29" ht="12.75">
      <c r="A1" t="s">
        <v>91</v>
      </c>
      <c r="B1" t="s">
        <v>92</v>
      </c>
      <c r="C1" t="s">
        <v>115</v>
      </c>
      <c r="D1" t="s">
        <v>57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44</v>
      </c>
      <c r="K1" t="s">
        <v>98</v>
      </c>
      <c r="L1" t="s">
        <v>99</v>
      </c>
      <c r="M1" t="s">
        <v>42</v>
      </c>
      <c r="N1" t="s">
        <v>43</v>
      </c>
      <c r="O1" t="s">
        <v>13</v>
      </c>
      <c r="P1" t="s">
        <v>100</v>
      </c>
      <c r="Q1" t="s">
        <v>11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55</v>
      </c>
      <c r="AC1" t="s">
        <v>111</v>
      </c>
    </row>
    <row r="2" spans="1:29" ht="12.75">
      <c r="A2" s="23">
        <f>Main!C16</f>
        <v>399223.6876595596</v>
      </c>
      <c r="B2" s="23">
        <f>Main!D16</f>
        <v>5531948.617608938</v>
      </c>
      <c r="C2" s="23">
        <f>Main!E16</f>
        <v>33</v>
      </c>
      <c r="D2">
        <f>6378137</f>
        <v>6378137</v>
      </c>
      <c r="E2">
        <v>0.08181919084693119</v>
      </c>
      <c r="F2">
        <f>500000</f>
        <v>500000</v>
      </c>
      <c r="G2">
        <v>0</v>
      </c>
      <c r="H2">
        <f>21+6*(C2-34)</f>
        <v>15</v>
      </c>
      <c r="I2">
        <f>H2*PI()/180</f>
        <v>0.2617993877991494</v>
      </c>
      <c r="J2">
        <v>0</v>
      </c>
      <c r="K2">
        <f>J2*PI()/180</f>
        <v>0</v>
      </c>
      <c r="L2">
        <v>0.9996</v>
      </c>
      <c r="M2">
        <f>A2-F2</f>
        <v>-100776.3123404404</v>
      </c>
      <c r="N2">
        <f>B2-G2</f>
        <v>5531948.617608938</v>
      </c>
      <c r="O2">
        <f>(1-SQRT(1-E2*E2))/(1+SQRT(1-E2*E2))</f>
        <v>0.0016792203865612046</v>
      </c>
      <c r="P2">
        <f>D2*(K2*(1-E2*E2/4-3*POWER(E2,4)/64-5*POWER(E2,6)/256)-SIN(2*K2)*(3*E2*E2/8+3*POWER(E2,4)/32+45*POWER(E2,6)/1024)+SIN(4*K2)*(15*POWER(E2,4)/256+45*POWER(E2,6)/1024)-SIN(6*K2)*35*POWER(E2,6)/3072)</f>
        <v>0</v>
      </c>
      <c r="Q2">
        <f>P2+N2/L2</f>
        <v>5534162.282521947</v>
      </c>
      <c r="R2">
        <f>Q2/(D2*(1-E2*E2/4-3*POWER(E2,4)/64-5*POWER(E2,6)/256))</f>
        <v>0.8691333304222016</v>
      </c>
      <c r="S2">
        <f>R2+SIN(2*R2)*(3*O2/2-27*POWER(O2,3)/32)+SIN(4*R2)*(21*O2*O2/16-55*POWER(O2,4)/32)+SIN(6*R2)*151*POWER(O2,3)/96+SIN(8*R2)*1097*POWER(O2,4)/512</f>
        <v>0.8716156945172523</v>
      </c>
      <c r="T2">
        <f>E2*E2/(1-E2*E2)</f>
        <v>0.006739496742991205</v>
      </c>
      <c r="U2">
        <f>T2*COS(S2)*COS(S2)</f>
        <v>0.002791560862306951</v>
      </c>
      <c r="V2">
        <f>TAN(S2)*TAN(S2)</f>
        <v>1.4142395868889177</v>
      </c>
      <c r="W2">
        <f>D2/SQRT(1-E2*E2*SIN(S2)*SIN(S2))</f>
        <v>6390679.8563725045</v>
      </c>
      <c r="X2">
        <f>D2*(1-E2*E2)/POWER(1-E2*E2*SIN(S2)*SIN(S2),1.5)</f>
        <v>6372889.547332366</v>
      </c>
      <c r="Y2">
        <f>M2/(W2*L2)</f>
        <v>-0.01577557337589191</v>
      </c>
      <c r="Z2">
        <f>S2-(W2*TAN(S2)/X2)*(Y2*Y2/2-(5+3*V2+10*U2-4*U2*U2-9*T2)*POWER(Y2,4)/24+(61+90*V2+298*U2+45*V2*V2-252*T2-3*U2*U2)*POWER(Y2,6)/720)</f>
        <v>0.8714673301749521</v>
      </c>
      <c r="AA2">
        <f>I2+(Y2-(1+2*V2+U2)*POWER(Y2,3)/6+(5-2*U2+28*V2-3*U2*U2+8*T2+24*V2*V2)*POWER(Y2,5)/120)/COS(S2)</f>
        <v>0.2372914744431966</v>
      </c>
      <c r="AB2" s="24">
        <f>Z2*180/PI()</f>
        <v>49.931400002558576</v>
      </c>
      <c r="AC2" s="24">
        <f>AA2*180/PI()</f>
        <v>13.595800000031602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Y4"/>
  <sheetViews>
    <sheetView workbookViewId="0" topLeftCell="J1">
      <selection activeCell="Y4" sqref="Y4"/>
    </sheetView>
  </sheetViews>
  <sheetFormatPr defaultColWidth="9.140625" defaultRowHeight="12.75"/>
  <sheetData>
    <row r="1" spans="1:25" ht="12.75">
      <c r="A1" t="s">
        <v>55</v>
      </c>
      <c r="B1" t="s">
        <v>111</v>
      </c>
      <c r="C1" t="s">
        <v>57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44</v>
      </c>
      <c r="J1" t="s">
        <v>98</v>
      </c>
      <c r="K1" t="s">
        <v>99</v>
      </c>
      <c r="L1" t="s">
        <v>109</v>
      </c>
      <c r="M1" t="s">
        <v>110</v>
      </c>
      <c r="N1" t="s">
        <v>103</v>
      </c>
      <c r="O1" t="s">
        <v>12</v>
      </c>
      <c r="P1" t="s">
        <v>112</v>
      </c>
      <c r="Q1" t="s">
        <v>113</v>
      </c>
      <c r="R1" t="s">
        <v>114</v>
      </c>
      <c r="S1" t="s">
        <v>11</v>
      </c>
      <c r="T1" t="s">
        <v>100</v>
      </c>
      <c r="U1" t="s">
        <v>42</v>
      </c>
      <c r="V1" t="s">
        <v>43</v>
      </c>
      <c r="W1" t="s">
        <v>91</v>
      </c>
      <c r="X1" t="s">
        <v>92</v>
      </c>
      <c r="Y1" t="s">
        <v>115</v>
      </c>
    </row>
    <row r="2" spans="1:25" ht="12.75">
      <c r="A2" s="23">
        <f>Main!G8</f>
        <v>49.931393325952094</v>
      </c>
      <c r="B2" s="23">
        <f>Main!H8</f>
        <v>13.59579974835897</v>
      </c>
      <c r="C2">
        <f>6378137</f>
        <v>6378137</v>
      </c>
      <c r="D2">
        <v>0.08181919084693119</v>
      </c>
      <c r="E2">
        <f>500000</f>
        <v>500000</v>
      </c>
      <c r="F2">
        <v>0</v>
      </c>
      <c r="G2">
        <f>21+6*(TRUNC(B2/6)-3)</f>
        <v>15</v>
      </c>
      <c r="H2">
        <f>G2*PI()/180</f>
        <v>0.2617993877991494</v>
      </c>
      <c r="I2">
        <v>0</v>
      </c>
      <c r="J2">
        <f>I2*PI()/180</f>
        <v>0</v>
      </c>
      <c r="K2">
        <v>0.9996</v>
      </c>
      <c r="L2">
        <f aca="true" t="shared" si="0" ref="L2:M4">A2*PI()/180</f>
        <v>0.8714672136461862</v>
      </c>
      <c r="M2">
        <f t="shared" si="0"/>
        <v>0.23729147005068055</v>
      </c>
      <c r="N2">
        <f>D2*D2/(1-D2*D2)</f>
        <v>0.006739496742991205</v>
      </c>
      <c r="O2">
        <f>C2/SQRT(1-D2*D2*SIN(L2)*SIN(L2))</f>
        <v>6390676.714949656</v>
      </c>
      <c r="P2">
        <f>TAN(L2)*TAN(L2)</f>
        <v>1.413387271677414</v>
      </c>
      <c r="Q2">
        <f>N2*COS(L2)*COS(L2)</f>
        <v>0.002792546733830641</v>
      </c>
      <c r="R2">
        <f>(M2-H2)*COS(L2)</f>
        <v>-0.015775854973111028</v>
      </c>
      <c r="S2">
        <f>C2*(L2*(1-D2*D2/4-3*POWER(D2,4)/64-5*POWER(D2,6)/256)-SIN(2*L2)*(3*D2*D2/8+3*POWER(D2,4)/32+45*POWER(D2,6)/1024)+SIN(4*L2)*(15*POWER(D2,4)/256+45*POWER(D2,6)/1024)-SIN(6*L2)*35*POWER(D2,6)/3072)</f>
        <v>5533216.031313047</v>
      </c>
      <c r="T2">
        <f>C2*J2*((1-D2*D2/4-3*POWER(D2,4)/64-5*POWER(D2,6)/256)-SIN(2*J2)*(3*D2*D2/8+3*POWER(D2,4)/32+45*POWER(D2,6)/1024)+SIN(4*J2)*(15*POWER(D2,4)/256+45*POWER(D2,6)/1024)-SIN(6*J2)*35*POWER(D2,6)/3072)</f>
        <v>0</v>
      </c>
      <c r="U2">
        <f>K2*O2*(R2+(1-P2+Q2)*POWER(R2,3)/6+(5-18*P2+P2*P2+72*Q2-85*N2)*POWER(R2,5)/120)</f>
        <v>-100776.34431883736</v>
      </c>
      <c r="V2">
        <f>K2*(S2-T2+O2*TAN(L2)*(R2*R2/2+(5-P2+9*Q2+4*Q2*Q2)*POWER(R2,4)/24+(61-58*P2+P2*P2+600*Q2-330*N2)*POWER(R2,6)/720))</f>
        <v>5531947.87594332</v>
      </c>
      <c r="W2" s="24">
        <f aca="true" t="shared" si="1" ref="W2:X4">U2+E2</f>
        <v>399223.6556811626</v>
      </c>
      <c r="X2" s="24">
        <f t="shared" si="1"/>
        <v>5531947.87594332</v>
      </c>
      <c r="Y2" s="24">
        <f>TRUNC(B2/6)+31</f>
        <v>33</v>
      </c>
    </row>
    <row r="3" spans="1:25" ht="12.75">
      <c r="A3" s="23">
        <f>Main!G13</f>
        <v>49.93139365322799</v>
      </c>
      <c r="B3" s="23">
        <f>Main!H13</f>
        <v>13.595800015703846</v>
      </c>
      <c r="C3">
        <f>6378137</f>
        <v>6378137</v>
      </c>
      <c r="D3">
        <v>0.08181919084693119</v>
      </c>
      <c r="E3">
        <f>500000</f>
        <v>500000</v>
      </c>
      <c r="F3">
        <v>0</v>
      </c>
      <c r="G3">
        <f>21+6*(TRUNC(B3/6)-3)</f>
        <v>15</v>
      </c>
      <c r="H3">
        <f>G3*PI()/180</f>
        <v>0.2617993877991494</v>
      </c>
      <c r="I3">
        <v>0</v>
      </c>
      <c r="J3">
        <f>I3*PI()/180</f>
        <v>0</v>
      </c>
      <c r="K3">
        <v>0.9996</v>
      </c>
      <c r="L3">
        <f t="shared" si="0"/>
        <v>0.8714672193582282</v>
      </c>
      <c r="M3">
        <f t="shared" si="0"/>
        <v>0.23729147471672887</v>
      </c>
      <c r="N3">
        <f>D3*D3/(1-D3*D3)</f>
        <v>0.006739496742991205</v>
      </c>
      <c r="O3">
        <f>C3/SQRT(1-D3*D3*SIN(L3)*SIN(L3))</f>
        <v>6390676.715070509</v>
      </c>
      <c r="P3">
        <f>TAN(L3)*TAN(L3)</f>
        <v>1.413387304455154</v>
      </c>
      <c r="Q3">
        <f>N3*COS(L3)*COS(L3)</f>
        <v>0.0027925466959032967</v>
      </c>
      <c r="R3">
        <f>(M3-H3)*COS(L3)</f>
        <v>-0.01577585186242418</v>
      </c>
      <c r="S3">
        <f>C3*(L3*(1-D3*D3/4-3*POWER(D3,4)/64-5*POWER(D3,6)/256)-SIN(2*L3)*(3*D3*D3/8+3*POWER(D3,4)/32+45*POWER(D3,6)/1024)+SIN(4*L3)*(15*POWER(D3,4)/256+45*POWER(D3,6)/1024)-SIN(6*L3)*35*POWER(D3,6)/3072)</f>
        <v>5533216.067715206</v>
      </c>
      <c r="T3">
        <f>C3*J3*((1-D3*D3/4-3*POWER(D3,4)/64-5*POWER(D3,6)/256)-SIN(2*J3)*(3*D3*D3/8+3*POWER(D3,4)/32+45*POWER(D3,6)/1024)+SIN(4*J3)*(15*POWER(D3,4)/256+45*POWER(D3,6)/1024)-SIN(6*J3)*35*POWER(D3,6)/3072)</f>
        <v>0</v>
      </c>
      <c r="U3">
        <f>K3*O3*(R3+(1-P3+Q3)*POWER(R3,3)/6+(5-18*P3+P3*P3+72*Q3-85*N3)*POWER(R3,5)/120)</f>
        <v>-100776.32445017995</v>
      </c>
      <c r="V3">
        <f>K3*(S3-T3+O3*TAN(L3)*(R3*R3/2+(5-P3+9*Q3+4*Q3*Q3)*POWER(R3,4)/24+(61-58*P3+P3*P3+600*Q3-330*N3)*POWER(R3,6)/720))</f>
        <v>5531947.911969145</v>
      </c>
      <c r="W3" s="24">
        <f t="shared" si="1"/>
        <v>399223.67554982007</v>
      </c>
      <c r="X3" s="24">
        <f t="shared" si="1"/>
        <v>5531947.911969145</v>
      </c>
      <c r="Y3" s="24">
        <f>TRUNC(B3/6)+31</f>
        <v>33</v>
      </c>
    </row>
    <row r="4" spans="1:25" ht="12.75">
      <c r="A4" s="23">
        <f>Main!C27</f>
        <v>49.9314</v>
      </c>
      <c r="B4" s="23">
        <f>Main!D27</f>
        <v>13.5958</v>
      </c>
      <c r="C4">
        <f>6378137</f>
        <v>6378137</v>
      </c>
      <c r="D4">
        <v>0.08181919084693119</v>
      </c>
      <c r="E4">
        <f>500000</f>
        <v>500000</v>
      </c>
      <c r="F4">
        <v>0</v>
      </c>
      <c r="G4">
        <f>21+6*(TRUNC(B4/6)-3)</f>
        <v>15</v>
      </c>
      <c r="H4">
        <f>G4*PI()/180</f>
        <v>0.2617993877991494</v>
      </c>
      <c r="I4">
        <v>0</v>
      </c>
      <c r="J4">
        <f>I4*PI()/180</f>
        <v>0</v>
      </c>
      <c r="K4">
        <v>0.9996</v>
      </c>
      <c r="L4">
        <f t="shared" si="0"/>
        <v>0.8714673301302966</v>
      </c>
      <c r="M4">
        <f t="shared" si="0"/>
        <v>0.23729147444264506</v>
      </c>
      <c r="N4">
        <f>D4*D4/(1-D4*D4)</f>
        <v>0.006739496742991205</v>
      </c>
      <c r="O4">
        <f>C4/SQRT(1-D4*D4*SIN(L4)*SIN(L4))</f>
        <v>6390676.717414184</v>
      </c>
      <c r="P4">
        <f>TAN(L4)*TAN(L4)</f>
        <v>1.4133879401050549</v>
      </c>
      <c r="Q4">
        <f>N4*COS(L4)*COS(L4)</f>
        <v>0.0027925459603887117</v>
      </c>
      <c r="R4">
        <f>(M4-H4)*COS(L4)</f>
        <v>-0.015775849961292533</v>
      </c>
      <c r="S4">
        <f>C4*(L4*(1-D4*D4/4-3*POWER(D4,4)/64-5*POWER(D4,6)/256)-SIN(2*L4)*(3*D4*D4/8+3*POWER(D4,4)/32+45*POWER(D4,6)/1024)+SIN(4*L4)*(15*POWER(D4,4)/256+45*POWER(D4,6)/1024)-SIN(6*L4)*35*POWER(D4,6)/3072)</f>
        <v>5533216.773652323</v>
      </c>
      <c r="T4">
        <f>C4*J4*((1-D4*D4/4-3*POWER(D4,4)/64-5*POWER(D4,6)/256)-SIN(2*J4)*(3*D4*D4/8+3*POWER(D4,4)/32+45*POWER(D4,6)/1024)+SIN(4*J4)*(15*POWER(D4,4)/256+45*POWER(D4,6)/1024)-SIN(6*J4)*35*POWER(D4,6)/3072)</f>
        <v>0</v>
      </c>
      <c r="U4">
        <f>K4*O4*(R4+(1-P4+Q4)*POWER(R4,3)/6+(5-18*P4+P4*P4+72*Q4-85*N4)*POWER(R4,5)/120)</f>
        <v>-100776.31234044039</v>
      </c>
      <c r="V4">
        <f>K4*(S4-T4+O4*TAN(L4)*(R4*R4/2+(5-P4+9*Q4+4*Q4*Q4)*POWER(R4,4)/24+(61-58*P4+P4*P4+600*Q4-330*N4)*POWER(R4,6)/720))</f>
        <v>5531948.617608938</v>
      </c>
      <c r="W4" s="24">
        <f t="shared" si="1"/>
        <v>399223.6876595596</v>
      </c>
      <c r="X4" s="24">
        <f t="shared" si="1"/>
        <v>5531948.617608938</v>
      </c>
      <c r="Y4" s="24">
        <f>TRUNC(B4/6)+31</f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S205"/>
  <sheetViews>
    <sheetView workbookViewId="0" topLeftCell="A1">
      <selection activeCell="F4" sqref="F4:G4"/>
    </sheetView>
  </sheetViews>
  <sheetFormatPr defaultColWidth="9.140625" defaultRowHeight="12.75"/>
  <cols>
    <col min="5" max="5" width="7.00390625" style="0" customWidth="1"/>
    <col min="8" max="8" width="11.00390625" style="0" bestFit="1" customWidth="1"/>
    <col min="12" max="12" width="5.28125" style="0" customWidth="1"/>
    <col min="13" max="14" width="9.421875" style="54" bestFit="1" customWidth="1"/>
  </cols>
  <sheetData>
    <row r="1" spans="1:9" ht="12.75">
      <c r="A1" s="19"/>
      <c r="H1" s="54"/>
      <c r="I1" s="54"/>
    </row>
    <row r="2" spans="1:9" ht="12.75">
      <c r="A2" s="19"/>
      <c r="B2" s="24" t="s">
        <v>163</v>
      </c>
      <c r="C2" s="24"/>
      <c r="D2" s="24"/>
      <c r="H2" s="54"/>
      <c r="I2" s="55"/>
    </row>
    <row r="3" spans="2:14" ht="13.5" thickBot="1">
      <c r="B3" s="24" t="s">
        <v>164</v>
      </c>
      <c r="D3" s="24"/>
      <c r="F3" s="56" t="s">
        <v>176</v>
      </c>
      <c r="H3" s="57" t="s">
        <v>30</v>
      </c>
      <c r="J3" s="57" t="s">
        <v>27</v>
      </c>
      <c r="M3" s="62"/>
      <c r="N3" s="62"/>
    </row>
    <row r="4" spans="1:14" ht="12.75">
      <c r="A4" s="59" t="s">
        <v>177</v>
      </c>
      <c r="B4" s="59"/>
      <c r="C4" s="38" t="s">
        <v>21</v>
      </c>
      <c r="D4" s="38" t="s">
        <v>22</v>
      </c>
      <c r="F4" s="59" t="s">
        <v>24</v>
      </c>
      <c r="G4" s="59" t="s">
        <v>25</v>
      </c>
      <c r="H4" s="38" t="s">
        <v>21</v>
      </c>
      <c r="I4" s="38" t="s">
        <v>22</v>
      </c>
      <c r="J4" s="38" t="s">
        <v>21</v>
      </c>
      <c r="K4" s="38" t="s">
        <v>22</v>
      </c>
      <c r="L4" s="42" t="s">
        <v>162</v>
      </c>
      <c r="M4" s="62"/>
      <c r="N4" s="62"/>
    </row>
    <row r="5" spans="3:19" ht="12.75">
      <c r="C5" s="61">
        <v>3344522.4055742747</v>
      </c>
      <c r="D5" s="61">
        <v>5436720.276175161</v>
      </c>
      <c r="F5" s="61">
        <v>49.04331809035144</v>
      </c>
      <c r="G5" s="61">
        <v>12.873292710727789</v>
      </c>
      <c r="H5" s="61">
        <v>870723.5544988551</v>
      </c>
      <c r="I5" s="61">
        <v>1141510.7857151518</v>
      </c>
      <c r="J5" s="61">
        <v>344462.1727004011</v>
      </c>
      <c r="K5" s="61">
        <v>5434406.241112548</v>
      </c>
      <c r="L5" s="61">
        <v>33</v>
      </c>
      <c r="M5" s="62"/>
      <c r="N5" s="62"/>
      <c r="O5" s="61"/>
      <c r="P5" s="61"/>
      <c r="Q5" s="61"/>
      <c r="R5" s="61"/>
      <c r="S5" s="61"/>
    </row>
    <row r="6" spans="3:19" ht="12.75">
      <c r="C6" s="61">
        <v>3394613.5059204143</v>
      </c>
      <c r="D6" s="61">
        <v>5434383.856384339</v>
      </c>
      <c r="F6" s="61">
        <v>49.03290813599162</v>
      </c>
      <c r="G6" s="61">
        <v>13.558791946249348</v>
      </c>
      <c r="H6" s="61">
        <v>821357.3029707607</v>
      </c>
      <c r="I6" s="61">
        <v>1150282.4676963754</v>
      </c>
      <c r="J6" s="61">
        <v>394532.8722615177</v>
      </c>
      <c r="K6" s="61">
        <v>5432070.779938174</v>
      </c>
      <c r="L6" s="61">
        <v>33</v>
      </c>
      <c r="M6" s="62"/>
      <c r="N6" s="62"/>
      <c r="O6" s="61"/>
      <c r="P6" s="63"/>
      <c r="Q6" s="63"/>
      <c r="R6" s="63"/>
      <c r="S6" s="64"/>
    </row>
    <row r="7" spans="3:19" ht="12.75">
      <c r="C7" s="61">
        <v>3444701.130512937</v>
      </c>
      <c r="D7" s="61">
        <v>5432044.686421927</v>
      </c>
      <c r="F7" s="61">
        <v>49.01839823207519</v>
      </c>
      <c r="G7" s="61">
        <v>14.243990801883845</v>
      </c>
      <c r="H7" s="61">
        <v>771990.322443087</v>
      </c>
      <c r="I7" s="61">
        <v>1159051.2714729814</v>
      </c>
      <c r="J7" s="61">
        <v>444600.09717739024</v>
      </c>
      <c r="K7" s="61">
        <v>5429732.567040916</v>
      </c>
      <c r="L7" s="61">
        <v>33</v>
      </c>
      <c r="M7" s="62"/>
      <c r="N7" s="62"/>
      <c r="O7" s="61"/>
      <c r="P7" s="63"/>
      <c r="Q7" s="63"/>
      <c r="R7" s="64"/>
      <c r="S7" s="61"/>
    </row>
    <row r="8" spans="1:19" ht="12.75">
      <c r="A8" s="24" t="s">
        <v>166</v>
      </c>
      <c r="B8" s="24"/>
      <c r="C8" s="61">
        <v>3494781.9577972456</v>
      </c>
      <c r="D8" s="61">
        <v>5429702.077142531</v>
      </c>
      <c r="F8" s="61">
        <v>48.99978838478642</v>
      </c>
      <c r="G8" s="61">
        <v>14.928689278767177</v>
      </c>
      <c r="H8" s="61">
        <v>722628.5182395258</v>
      </c>
      <c r="I8" s="61">
        <v>1167817.8745983802</v>
      </c>
      <c r="J8" s="61">
        <v>494660.527254206</v>
      </c>
      <c r="K8" s="61">
        <v>5427390.913551619</v>
      </c>
      <c r="L8" s="61">
        <v>33</v>
      </c>
      <c r="M8" s="62"/>
      <c r="N8" s="62"/>
      <c r="O8" s="61"/>
      <c r="P8" s="63"/>
      <c r="Q8" s="63"/>
      <c r="R8" s="64"/>
      <c r="S8" s="61"/>
    </row>
    <row r="9" spans="1:19" ht="12.75">
      <c r="A9" s="24" t="s">
        <v>167</v>
      </c>
      <c r="B9" s="24"/>
      <c r="C9" s="61">
        <v>3543937.052318878</v>
      </c>
      <c r="D9" s="61">
        <v>5541165.443387427</v>
      </c>
      <c r="F9" s="61">
        <v>50.00036836614281</v>
      </c>
      <c r="G9" s="61">
        <v>15.612822918813668</v>
      </c>
      <c r="H9" s="61">
        <v>659549.0972348899</v>
      </c>
      <c r="I9" s="61">
        <v>1063613.1015680716</v>
      </c>
      <c r="J9" s="61">
        <v>543795.606656946</v>
      </c>
      <c r="K9" s="61">
        <v>5538808.885042172</v>
      </c>
      <c r="L9" s="61">
        <v>33</v>
      </c>
      <c r="M9" s="62"/>
      <c r="N9" s="62"/>
      <c r="O9" s="61"/>
      <c r="P9" s="63"/>
      <c r="Q9" s="63"/>
      <c r="R9" s="64"/>
      <c r="S9" s="61"/>
    </row>
    <row r="10" spans="3:19" ht="12.75">
      <c r="C10" s="61">
        <v>3594946.760625563</v>
      </c>
      <c r="D10" s="61">
        <v>5424980.315758662</v>
      </c>
      <c r="F10" s="61">
        <v>48.95006887944298</v>
      </c>
      <c r="G10" s="61">
        <v>16.296285096369353</v>
      </c>
      <c r="H10" s="61">
        <v>623910.969645899</v>
      </c>
      <c r="I10" s="61">
        <v>1185374.948178911</v>
      </c>
      <c r="J10" s="61">
        <v>594784.5335708641</v>
      </c>
      <c r="K10" s="61">
        <v>5422671.070585305</v>
      </c>
      <c r="L10" s="61">
        <v>33</v>
      </c>
      <c r="M10" s="62"/>
      <c r="N10" s="62"/>
      <c r="O10" s="61"/>
      <c r="P10" s="63"/>
      <c r="Q10" s="63"/>
      <c r="R10" s="64"/>
      <c r="S10" s="61"/>
    </row>
    <row r="11" spans="3:19" ht="12.75">
      <c r="C11" s="61">
        <v>3645031.378159167</v>
      </c>
      <c r="D11" s="61">
        <v>5422609.903237756</v>
      </c>
      <c r="F11" s="61">
        <v>48.91905923122652</v>
      </c>
      <c r="G11" s="61">
        <v>16.978882444988418</v>
      </c>
      <c r="H11" s="61">
        <v>574558.9172487545</v>
      </c>
      <c r="I11" s="61">
        <v>1194157.3907831165</v>
      </c>
      <c r="J11" s="61">
        <v>644848.7515696365</v>
      </c>
      <c r="K11" s="61">
        <v>5420301.617120385</v>
      </c>
      <c r="L11" s="61">
        <v>33</v>
      </c>
      <c r="M11" s="62"/>
      <c r="N11" s="62"/>
      <c r="O11" s="61"/>
      <c r="P11" s="61"/>
      <c r="Q11" s="61"/>
      <c r="R11" s="61"/>
      <c r="S11" s="61"/>
    </row>
    <row r="12" spans="3:19" ht="12.75">
      <c r="C12" s="61">
        <v>3695125.097083916</v>
      </c>
      <c r="D12" s="61">
        <v>5420231.4026518995</v>
      </c>
      <c r="F12" s="61">
        <v>48.88394965834852</v>
      </c>
      <c r="G12" s="61">
        <v>17.66057942377045</v>
      </c>
      <c r="H12" s="61">
        <v>525207.7726149396</v>
      </c>
      <c r="I12" s="61">
        <v>1202945.3772453144</v>
      </c>
      <c r="J12" s="61">
        <v>694922.0670336151</v>
      </c>
      <c r="K12" s="61">
        <v>5417924.0761855645</v>
      </c>
      <c r="L12" s="61">
        <v>33</v>
      </c>
      <c r="M12" s="62"/>
      <c r="N12" s="62"/>
      <c r="O12" s="61"/>
      <c r="P12" s="61"/>
      <c r="Q12" s="61"/>
      <c r="R12" s="61"/>
      <c r="S12" s="61"/>
    </row>
    <row r="13" spans="3:19" ht="12.75">
      <c r="C13" s="61">
        <v>4304850.759064901</v>
      </c>
      <c r="D13" s="61">
        <v>5415855.957702035</v>
      </c>
      <c r="F13" s="61">
        <v>48.844640167877834</v>
      </c>
      <c r="G13" s="61">
        <v>18.341176036457576</v>
      </c>
      <c r="H13" s="61">
        <v>475865.0712716552</v>
      </c>
      <c r="I13" s="61">
        <v>1211751.3525269867</v>
      </c>
      <c r="J13" s="61">
        <v>304807.7543933483</v>
      </c>
      <c r="K13" s="61">
        <v>5413560.121021741</v>
      </c>
      <c r="L13" s="61">
        <v>34</v>
      </c>
      <c r="M13" s="62"/>
      <c r="N13" s="62"/>
      <c r="O13" s="61"/>
      <c r="P13" s="61"/>
      <c r="Q13" s="61"/>
      <c r="R13" s="61"/>
      <c r="S13" s="61"/>
    </row>
    <row r="14" spans="3:19" ht="12.75">
      <c r="C14" s="61">
        <v>3346857.3752373974</v>
      </c>
      <c r="D14" s="61">
        <v>5486680.534121063</v>
      </c>
      <c r="F14" s="61">
        <v>49.49281368365489</v>
      </c>
      <c r="G14" s="61">
        <v>12.886108153017895</v>
      </c>
      <c r="H14" s="61">
        <v>861971.0011850003</v>
      </c>
      <c r="I14" s="61">
        <v>1092279.5497167313</v>
      </c>
      <c r="J14" s="61">
        <v>346796.18317113916</v>
      </c>
      <c r="K14" s="61">
        <v>5484346.151860839</v>
      </c>
      <c r="L14" s="61">
        <v>33</v>
      </c>
      <c r="M14" s="62"/>
      <c r="N14" s="62"/>
      <c r="O14" s="61"/>
      <c r="P14" s="61"/>
      <c r="Q14" s="61"/>
      <c r="R14" s="61"/>
      <c r="S14" s="61"/>
    </row>
    <row r="15" spans="3:19" ht="12.75">
      <c r="C15" s="61">
        <v>3396958.532551315</v>
      </c>
      <c r="D15" s="61">
        <v>5484335.321730091</v>
      </c>
      <c r="F15" s="61">
        <v>49.482303568941475</v>
      </c>
      <c r="G15" s="61">
        <v>13.578007362529368</v>
      </c>
      <c r="H15" s="61">
        <v>812600.0583835499</v>
      </c>
      <c r="I15" s="61">
        <v>1101055.2542084798</v>
      </c>
      <c r="J15" s="61">
        <v>396876.93827854434</v>
      </c>
      <c r="K15" s="61">
        <v>5482001.901339085</v>
      </c>
      <c r="L15" s="61">
        <v>33</v>
      </c>
      <c r="M15" s="62"/>
      <c r="N15" s="62"/>
      <c r="O15" s="61"/>
      <c r="P15" s="61"/>
      <c r="Q15" s="61"/>
      <c r="R15" s="61"/>
      <c r="S15" s="61"/>
    </row>
    <row r="16" spans="3:19" ht="12.75">
      <c r="C16" s="61">
        <v>3447050.0569432187</v>
      </c>
      <c r="D16" s="61">
        <v>5481994.790819779</v>
      </c>
      <c r="F16" s="61">
        <v>49.467693506520455</v>
      </c>
      <c r="G16" s="61">
        <v>14.269506181966351</v>
      </c>
      <c r="H16" s="61">
        <v>763233.0504946437</v>
      </c>
      <c r="I16" s="61">
        <v>1109822.4114653943</v>
      </c>
      <c r="J16" s="61">
        <v>446948.06407984573</v>
      </c>
      <c r="K16" s="61">
        <v>5479662.327748721</v>
      </c>
      <c r="L16" s="61">
        <v>33</v>
      </c>
      <c r="M16" s="62"/>
      <c r="N16" s="62"/>
      <c r="O16" s="61"/>
      <c r="P16" s="61"/>
      <c r="Q16" s="61"/>
      <c r="R16" s="61"/>
      <c r="S16" s="61"/>
    </row>
    <row r="17" spans="3:19" ht="12.75">
      <c r="C17" s="61">
        <v>3497143.3147330177</v>
      </c>
      <c r="D17" s="61">
        <v>5479646.926004863</v>
      </c>
      <c r="F17" s="61">
        <v>49.448883500681</v>
      </c>
      <c r="G17" s="61">
        <v>14.960604608873513</v>
      </c>
      <c r="H17" s="61">
        <v>713862.8194101233</v>
      </c>
      <c r="I17" s="61">
        <v>1118594.9083758171</v>
      </c>
      <c r="J17" s="61">
        <v>497020.92227729736</v>
      </c>
      <c r="K17" s="61">
        <v>5477315.420594318</v>
      </c>
      <c r="L17" s="61">
        <v>33</v>
      </c>
      <c r="M17" s="62"/>
      <c r="N17" s="62"/>
      <c r="O17" s="61"/>
      <c r="P17" s="61"/>
      <c r="Q17" s="61"/>
      <c r="R17" s="61"/>
      <c r="S17" s="61"/>
    </row>
    <row r="18" spans="3:19" ht="12.75">
      <c r="C18" s="61">
        <v>3547228.2105082404</v>
      </c>
      <c r="D18" s="61">
        <v>5477290.812279535</v>
      </c>
      <c r="F18" s="61">
        <v>49.425873559178676</v>
      </c>
      <c r="G18" s="61">
        <v>15.651002645264269</v>
      </c>
      <c r="H18" s="61">
        <v>664502.1528759738</v>
      </c>
      <c r="I18" s="61">
        <v>1127372.8158203415</v>
      </c>
      <c r="J18" s="61">
        <v>547085.4215907536</v>
      </c>
      <c r="K18" s="61">
        <v>5474960.265237674</v>
      </c>
      <c r="L18" s="61">
        <v>33</v>
      </c>
      <c r="M18" s="62"/>
      <c r="N18" s="62"/>
      <c r="O18" s="61"/>
      <c r="P18" s="61"/>
      <c r="Q18" s="61"/>
      <c r="R18" s="61"/>
      <c r="S18" s="61"/>
    </row>
    <row r="19" spans="3:19" ht="12.75">
      <c r="C19" s="61">
        <v>3597323.6290204623</v>
      </c>
      <c r="D19" s="61">
        <v>5474925.418753472</v>
      </c>
      <c r="F19" s="61">
        <v>49.39866368385293</v>
      </c>
      <c r="G19" s="61">
        <v>16.340800292967597</v>
      </c>
      <c r="H19" s="61">
        <v>615135.2114715636</v>
      </c>
      <c r="I19" s="61">
        <v>1136159.984253481</v>
      </c>
      <c r="J19" s="61">
        <v>597160.4391035145</v>
      </c>
      <c r="K19" s="61">
        <v>5472595.831202176</v>
      </c>
      <c r="L19" s="61">
        <v>33</v>
      </c>
      <c r="M19" s="62"/>
      <c r="N19" s="62"/>
      <c r="O19" s="61"/>
      <c r="P19" s="61"/>
      <c r="Q19" s="61"/>
      <c r="R19" s="61"/>
      <c r="S19" s="61"/>
    </row>
    <row r="20" spans="3:19" ht="12.75">
      <c r="C20" s="61">
        <v>3697526.3296794244</v>
      </c>
      <c r="D20" s="61">
        <v>5470183.681124591</v>
      </c>
      <c r="F20" s="61">
        <v>49.331844399083714</v>
      </c>
      <c r="G20" s="61">
        <v>17.71769462102558</v>
      </c>
      <c r="H20" s="61">
        <v>516411.3403016268</v>
      </c>
      <c r="I20" s="61">
        <v>1153744.0354405637</v>
      </c>
      <c r="J20" s="61">
        <v>697322.3322450882</v>
      </c>
      <c r="K20" s="61">
        <v>5467856.009016654</v>
      </c>
      <c r="L20" s="61">
        <v>33</v>
      </c>
      <c r="M20" s="62"/>
      <c r="N20" s="62"/>
      <c r="O20" s="61"/>
      <c r="P20" s="61"/>
      <c r="Q20" s="61"/>
      <c r="R20" s="61"/>
      <c r="S20" s="61"/>
    </row>
    <row r="21" spans="3:19" ht="12.75">
      <c r="C21" s="61">
        <v>3747641.7825063257</v>
      </c>
      <c r="D21" s="61">
        <v>5467804.34540844</v>
      </c>
      <c r="F21" s="61">
        <v>49.29223475254456</v>
      </c>
      <c r="G21" s="61">
        <v>18.404591157174867</v>
      </c>
      <c r="H21" s="61">
        <v>467052.63822544704</v>
      </c>
      <c r="I21" s="61">
        <v>1162545.3095603555</v>
      </c>
      <c r="J21" s="61">
        <v>311163.6694745497</v>
      </c>
      <c r="K21" s="61">
        <v>5463150.3229538165</v>
      </c>
      <c r="L21" s="61">
        <v>34</v>
      </c>
      <c r="M21" s="62"/>
      <c r="N21" s="62"/>
      <c r="O21" s="61"/>
      <c r="P21" s="61"/>
      <c r="Q21" s="61"/>
      <c r="R21" s="61"/>
      <c r="S21" s="61"/>
    </row>
    <row r="22" spans="3:19" ht="12.75">
      <c r="C22" s="61">
        <v>3349199.2043161</v>
      </c>
      <c r="D22" s="61">
        <v>5536644.077121356</v>
      </c>
      <c r="F22" s="61">
        <v>49.94230952048561</v>
      </c>
      <c r="G22" s="61">
        <v>12.899123976791051</v>
      </c>
      <c r="H22" s="61">
        <v>853218.6831388094</v>
      </c>
      <c r="I22" s="61">
        <v>1043049.1290850026</v>
      </c>
      <c r="J22" s="61">
        <v>349137.0506059122</v>
      </c>
      <c r="K22" s="61">
        <v>5534289.349000942</v>
      </c>
      <c r="L22" s="61">
        <v>33</v>
      </c>
      <c r="M22" s="62"/>
      <c r="N22" s="62"/>
      <c r="O22" s="61"/>
      <c r="P22" s="61"/>
      <c r="Q22" s="61"/>
      <c r="R22" s="61"/>
      <c r="S22" s="61"/>
    </row>
    <row r="23" spans="3:19" ht="12.75">
      <c r="C23" s="61">
        <v>3399306.2312135673</v>
      </c>
      <c r="D23" s="61">
        <v>5534301.679692035</v>
      </c>
      <c r="F23" s="61">
        <v>49.93179924204811</v>
      </c>
      <c r="G23" s="61">
        <v>13.597523191274105</v>
      </c>
      <c r="H23" s="61">
        <v>803843.2504867425</v>
      </c>
      <c r="I23" s="61">
        <v>1051816.2614420059</v>
      </c>
      <c r="J23" s="61">
        <v>399223.67554982007</v>
      </c>
      <c r="K23" s="61">
        <v>5531947.911969145</v>
      </c>
      <c r="L23" s="61">
        <v>33</v>
      </c>
      <c r="M23" s="62"/>
      <c r="N23" s="62"/>
      <c r="O23" s="61"/>
      <c r="P23" s="61"/>
      <c r="Q23" s="61"/>
      <c r="R23" s="61"/>
      <c r="S23" s="61"/>
    </row>
    <row r="24" spans="3:19" ht="12.75">
      <c r="C24" s="61">
        <v>3399306.2312135673</v>
      </c>
      <c r="D24" s="61">
        <v>5534301.679692035</v>
      </c>
      <c r="F24" s="61">
        <v>49.93179924204811</v>
      </c>
      <c r="G24" s="61">
        <v>13.597523191274105</v>
      </c>
      <c r="H24" s="61">
        <v>803843.2504867425</v>
      </c>
      <c r="I24" s="61">
        <v>1051816.2614420059</v>
      </c>
      <c r="J24" s="61">
        <v>399223.67554982007</v>
      </c>
      <c r="K24" s="61">
        <v>5531947.911969145</v>
      </c>
      <c r="L24" s="61">
        <v>33</v>
      </c>
      <c r="M24" s="62"/>
      <c r="N24" s="62"/>
      <c r="O24" s="61"/>
      <c r="P24" s="61"/>
      <c r="Q24" s="61"/>
      <c r="R24" s="61"/>
      <c r="S24" s="61"/>
    </row>
    <row r="25" spans="3:19" ht="12.75">
      <c r="C25" s="61"/>
      <c r="D25" s="61"/>
      <c r="F25" s="61"/>
      <c r="G25" s="61"/>
      <c r="H25" s="61"/>
      <c r="I25" s="61"/>
      <c r="J25" s="61"/>
      <c r="K25" s="61"/>
      <c r="L25" s="61"/>
      <c r="M25" s="62"/>
      <c r="N25" s="62"/>
      <c r="O25" s="61"/>
      <c r="P25" s="61"/>
      <c r="Q25" s="61"/>
      <c r="R25" s="61"/>
      <c r="S25" s="61"/>
    </row>
    <row r="26" spans="3:19" ht="12.75">
      <c r="C26" s="61"/>
      <c r="D26" s="61"/>
      <c r="F26" s="61"/>
      <c r="G26" s="61"/>
      <c r="H26" s="61"/>
      <c r="I26" s="61"/>
      <c r="J26" s="61"/>
      <c r="K26" s="61"/>
      <c r="L26" s="61"/>
      <c r="M26" s="62"/>
      <c r="N26" s="62"/>
      <c r="O26" s="61"/>
      <c r="P26" s="61"/>
      <c r="Q26" s="61"/>
      <c r="R26" s="61"/>
      <c r="S26" s="61"/>
    </row>
    <row r="27" spans="3:19" ht="12.75">
      <c r="C27" s="61"/>
      <c r="D27" s="61"/>
      <c r="F27" s="61"/>
      <c r="G27" s="61"/>
      <c r="H27" s="61"/>
      <c r="I27" s="61"/>
      <c r="J27" s="61"/>
      <c r="K27" s="61"/>
      <c r="L27" s="61"/>
      <c r="M27" s="62"/>
      <c r="N27" s="62"/>
      <c r="O27" s="61"/>
      <c r="P27" s="61"/>
      <c r="Q27" s="61"/>
      <c r="R27" s="61"/>
      <c r="S27" s="61"/>
    </row>
    <row r="28" spans="3:19" ht="12.75">
      <c r="C28" s="61"/>
      <c r="D28" s="61"/>
      <c r="F28" s="61"/>
      <c r="G28" s="61"/>
      <c r="H28" s="61"/>
      <c r="I28" s="61"/>
      <c r="J28" s="61"/>
      <c r="K28" s="61"/>
      <c r="L28" s="61"/>
      <c r="M28" s="62"/>
      <c r="N28" s="62"/>
      <c r="O28" s="61"/>
      <c r="P28" s="61"/>
      <c r="Q28" s="61"/>
      <c r="R28" s="61"/>
      <c r="S28" s="61"/>
    </row>
    <row r="29" spans="3:19" ht="12.75">
      <c r="C29" s="61"/>
      <c r="D29" s="61"/>
      <c r="F29" s="61"/>
      <c r="G29" s="61"/>
      <c r="H29" s="61"/>
      <c r="I29" s="61"/>
      <c r="J29" s="61"/>
      <c r="K29" s="61"/>
      <c r="L29" s="61"/>
      <c r="M29" s="62"/>
      <c r="N29" s="62"/>
      <c r="O29" s="61"/>
      <c r="P29" s="61"/>
      <c r="Q29" s="61"/>
      <c r="R29" s="61"/>
      <c r="S29" s="61"/>
    </row>
    <row r="30" spans="3:19" ht="12.75">
      <c r="C30" s="61"/>
      <c r="D30" s="61"/>
      <c r="F30" s="61"/>
      <c r="G30" s="61"/>
      <c r="H30" s="61"/>
      <c r="I30" s="61"/>
      <c r="J30" s="61"/>
      <c r="K30" s="61"/>
      <c r="L30" s="61"/>
      <c r="M30" s="62"/>
      <c r="N30" s="62"/>
      <c r="O30" s="61"/>
      <c r="P30" s="61"/>
      <c r="Q30" s="61"/>
      <c r="R30" s="61"/>
      <c r="S30" s="61"/>
    </row>
    <row r="31" spans="3:19" ht="12.75">
      <c r="C31" s="61"/>
      <c r="D31" s="61"/>
      <c r="F31" s="61"/>
      <c r="G31" s="61"/>
      <c r="H31" s="61"/>
      <c r="I31" s="61"/>
      <c r="J31" s="61"/>
      <c r="K31" s="61"/>
      <c r="L31" s="61"/>
      <c r="M31" s="62"/>
      <c r="N31" s="62"/>
      <c r="O31" s="61"/>
      <c r="P31" s="61"/>
      <c r="Q31" s="61"/>
      <c r="R31" s="61"/>
      <c r="S31" s="61"/>
    </row>
    <row r="32" spans="3:19" ht="12.75">
      <c r="C32" s="61"/>
      <c r="D32" s="61"/>
      <c r="F32" s="61"/>
      <c r="G32" s="61"/>
      <c r="H32" s="61"/>
      <c r="I32" s="61"/>
      <c r="J32" s="61"/>
      <c r="K32" s="61"/>
      <c r="L32" s="61"/>
      <c r="M32" s="62"/>
      <c r="N32" s="62"/>
      <c r="O32" s="61"/>
      <c r="P32" s="61"/>
      <c r="Q32" s="61"/>
      <c r="R32" s="61"/>
      <c r="S32" s="61"/>
    </row>
    <row r="33" spans="3:19" ht="12.75">
      <c r="C33" s="61"/>
      <c r="D33" s="61"/>
      <c r="F33" s="61"/>
      <c r="G33" s="61"/>
      <c r="H33" s="61"/>
      <c r="I33" s="61"/>
      <c r="J33" s="61"/>
      <c r="K33" s="61"/>
      <c r="L33" s="61"/>
      <c r="M33" s="62"/>
      <c r="N33" s="62"/>
      <c r="O33" s="61"/>
      <c r="P33" s="61"/>
      <c r="Q33" s="61"/>
      <c r="R33" s="61"/>
      <c r="S33" s="61"/>
    </row>
    <row r="34" spans="3:19" ht="12.75">
      <c r="C34" s="61"/>
      <c r="D34" s="61"/>
      <c r="F34" s="61"/>
      <c r="G34" s="61"/>
      <c r="H34" s="61"/>
      <c r="I34" s="61"/>
      <c r="J34" s="61"/>
      <c r="K34" s="61"/>
      <c r="L34" s="61"/>
      <c r="M34" s="62"/>
      <c r="N34" s="62"/>
      <c r="O34" s="61"/>
      <c r="P34" s="61"/>
      <c r="Q34" s="61"/>
      <c r="R34" s="61"/>
      <c r="S34" s="61"/>
    </row>
    <row r="35" spans="3:19" ht="12.75">
      <c r="C35" s="61"/>
      <c r="D35" s="61"/>
      <c r="F35" s="61"/>
      <c r="G35" s="61"/>
      <c r="H35" s="61"/>
      <c r="I35" s="61"/>
      <c r="J35" s="61"/>
      <c r="K35" s="61"/>
      <c r="L35" s="61"/>
      <c r="M35" s="62"/>
      <c r="N35" s="62"/>
      <c r="O35" s="61"/>
      <c r="P35" s="61"/>
      <c r="Q35" s="61"/>
      <c r="R35" s="61"/>
      <c r="S35" s="61"/>
    </row>
    <row r="36" spans="3:19" ht="12.75">
      <c r="C36" s="61"/>
      <c r="D36" s="61"/>
      <c r="F36" s="61"/>
      <c r="G36" s="61"/>
      <c r="H36" s="61"/>
      <c r="I36" s="61"/>
      <c r="J36" s="61"/>
      <c r="K36" s="61"/>
      <c r="L36" s="61"/>
      <c r="M36" s="62"/>
      <c r="N36" s="62"/>
      <c r="O36" s="61"/>
      <c r="P36" s="61"/>
      <c r="Q36" s="61"/>
      <c r="R36" s="61"/>
      <c r="S36" s="61"/>
    </row>
    <row r="37" spans="3:19" ht="12.75">
      <c r="C37" s="61"/>
      <c r="D37" s="61"/>
      <c r="F37" s="61"/>
      <c r="G37" s="61"/>
      <c r="H37" s="61"/>
      <c r="I37" s="61"/>
      <c r="J37" s="61"/>
      <c r="K37" s="61"/>
      <c r="L37" s="61"/>
      <c r="M37" s="62"/>
      <c r="N37" s="62"/>
      <c r="O37" s="61"/>
      <c r="P37" s="61"/>
      <c r="Q37" s="61"/>
      <c r="R37" s="61"/>
      <c r="S37" s="61"/>
    </row>
    <row r="38" spans="3:19" ht="12.75">
      <c r="C38" s="61"/>
      <c r="D38" s="61"/>
      <c r="F38" s="61"/>
      <c r="G38" s="61"/>
      <c r="H38" s="61"/>
      <c r="I38" s="61"/>
      <c r="J38" s="61"/>
      <c r="K38" s="61"/>
      <c r="L38" s="61"/>
      <c r="M38" s="62"/>
      <c r="N38" s="62"/>
      <c r="O38" s="61"/>
      <c r="P38" s="61"/>
      <c r="Q38" s="61"/>
      <c r="R38" s="61"/>
      <c r="S38" s="61"/>
    </row>
    <row r="39" spans="3:19" ht="12.75">
      <c r="C39" s="61"/>
      <c r="D39" s="61"/>
      <c r="F39" s="61"/>
      <c r="G39" s="61"/>
      <c r="H39" s="61"/>
      <c r="I39" s="61"/>
      <c r="J39" s="61"/>
      <c r="K39" s="61"/>
      <c r="L39" s="61"/>
      <c r="M39" s="62"/>
      <c r="N39" s="62"/>
      <c r="O39" s="61"/>
      <c r="P39" s="61"/>
      <c r="Q39" s="61"/>
      <c r="R39" s="61"/>
      <c r="S39" s="61"/>
    </row>
    <row r="40" spans="3:19" ht="12.75">
      <c r="C40" s="61"/>
      <c r="D40" s="61"/>
      <c r="F40" s="61"/>
      <c r="G40" s="61"/>
      <c r="H40" s="61"/>
      <c r="I40" s="61"/>
      <c r="J40" s="61"/>
      <c r="K40" s="61"/>
      <c r="L40" s="61"/>
      <c r="M40" s="62"/>
      <c r="N40" s="62"/>
      <c r="O40" s="61"/>
      <c r="P40" s="61"/>
      <c r="Q40" s="61"/>
      <c r="R40" s="61"/>
      <c r="S40" s="61"/>
    </row>
    <row r="41" spans="3:19" ht="12.75">
      <c r="C41" s="61"/>
      <c r="D41" s="61"/>
      <c r="F41" s="61"/>
      <c r="G41" s="61"/>
      <c r="H41" s="61"/>
      <c r="I41" s="61"/>
      <c r="J41" s="61"/>
      <c r="K41" s="61"/>
      <c r="L41" s="61"/>
      <c r="M41" s="62"/>
      <c r="N41" s="62"/>
      <c r="O41" s="61"/>
      <c r="P41" s="61"/>
      <c r="Q41" s="61"/>
      <c r="R41" s="61"/>
      <c r="S41" s="61"/>
    </row>
    <row r="42" spans="3:19" ht="12.75">
      <c r="C42" s="61"/>
      <c r="D42" s="61"/>
      <c r="F42" s="61"/>
      <c r="G42" s="61"/>
      <c r="H42" s="61"/>
      <c r="I42" s="61"/>
      <c r="J42" s="61"/>
      <c r="K42" s="61"/>
      <c r="L42" s="61"/>
      <c r="M42" s="62"/>
      <c r="N42" s="62"/>
      <c r="O42" s="61"/>
      <c r="P42" s="61"/>
      <c r="Q42" s="61"/>
      <c r="R42" s="61"/>
      <c r="S42" s="61"/>
    </row>
    <row r="43" spans="3:19" ht="12.75">
      <c r="C43" s="61"/>
      <c r="D43" s="61"/>
      <c r="F43" s="61"/>
      <c r="G43" s="61"/>
      <c r="H43" s="61"/>
      <c r="I43" s="61"/>
      <c r="J43" s="61"/>
      <c r="K43" s="61"/>
      <c r="L43" s="61"/>
      <c r="M43" s="62"/>
      <c r="N43" s="62"/>
      <c r="O43" s="61"/>
      <c r="P43" s="61"/>
      <c r="Q43" s="61"/>
      <c r="R43" s="61"/>
      <c r="S43" s="61"/>
    </row>
    <row r="44" spans="3:19" ht="12.75">
      <c r="C44" s="61"/>
      <c r="D44" s="61"/>
      <c r="F44" s="61"/>
      <c r="G44" s="61"/>
      <c r="H44" s="61"/>
      <c r="I44" s="61"/>
      <c r="J44" s="61"/>
      <c r="K44" s="61"/>
      <c r="L44" s="61"/>
      <c r="M44" s="62"/>
      <c r="N44" s="62"/>
      <c r="O44" s="61"/>
      <c r="P44" s="61"/>
      <c r="Q44" s="61"/>
      <c r="R44" s="61"/>
      <c r="S44" s="61"/>
    </row>
    <row r="45" spans="3:19" ht="12.75">
      <c r="C45" s="61"/>
      <c r="D45" s="61"/>
      <c r="F45" s="61"/>
      <c r="G45" s="61"/>
      <c r="H45" s="61"/>
      <c r="I45" s="61"/>
      <c r="J45" s="61"/>
      <c r="K45" s="61"/>
      <c r="L45" s="61"/>
      <c r="M45" s="62"/>
      <c r="N45" s="62"/>
      <c r="O45" s="61"/>
      <c r="P45" s="61"/>
      <c r="Q45" s="61"/>
      <c r="R45" s="61"/>
      <c r="S45" s="61"/>
    </row>
    <row r="46" spans="3:19" ht="12.75">
      <c r="C46" s="61"/>
      <c r="D46" s="61"/>
      <c r="F46" s="61"/>
      <c r="G46" s="61"/>
      <c r="H46" s="61"/>
      <c r="I46" s="61"/>
      <c r="J46" s="61"/>
      <c r="K46" s="61"/>
      <c r="L46" s="61"/>
      <c r="M46" s="62"/>
      <c r="N46" s="62"/>
      <c r="O46" s="61"/>
      <c r="P46" s="61"/>
      <c r="Q46" s="61"/>
      <c r="R46" s="61"/>
      <c r="S46" s="61"/>
    </row>
    <row r="47" spans="3:19" ht="12.75">
      <c r="C47" s="61"/>
      <c r="D47" s="61"/>
      <c r="F47" s="61"/>
      <c r="G47" s="61"/>
      <c r="H47" s="61"/>
      <c r="I47" s="61"/>
      <c r="J47" s="61"/>
      <c r="K47" s="61"/>
      <c r="L47" s="61"/>
      <c r="M47" s="62"/>
      <c r="N47" s="62"/>
      <c r="O47" s="61"/>
      <c r="P47" s="61"/>
      <c r="Q47" s="61"/>
      <c r="R47" s="61"/>
      <c r="S47" s="61"/>
    </row>
    <row r="48" spans="3:19" ht="12.75">
      <c r="C48" s="66"/>
      <c r="D48" s="66"/>
      <c r="F48" s="61"/>
      <c r="G48" s="61"/>
      <c r="H48" s="61"/>
      <c r="I48" s="61"/>
      <c r="J48" s="61"/>
      <c r="K48" s="61"/>
      <c r="L48" s="61"/>
      <c r="M48" s="67"/>
      <c r="N48" s="67"/>
      <c r="O48" s="61"/>
      <c r="P48" s="61"/>
      <c r="Q48" s="61"/>
      <c r="R48" s="61"/>
      <c r="S48" s="61"/>
    </row>
    <row r="49" spans="3:19" ht="12.75">
      <c r="C49" s="66"/>
      <c r="D49" s="66"/>
      <c r="F49" s="61"/>
      <c r="G49" s="61"/>
      <c r="H49" s="61"/>
      <c r="I49" s="61"/>
      <c r="J49" s="61"/>
      <c r="K49" s="61"/>
      <c r="L49" s="61"/>
      <c r="M49" s="67"/>
      <c r="N49" s="67"/>
      <c r="O49" s="61"/>
      <c r="P49" s="61"/>
      <c r="Q49" s="61"/>
      <c r="R49" s="61"/>
      <c r="S49" s="61"/>
    </row>
    <row r="50" spans="3:19" ht="12.75">
      <c r="C50" s="66"/>
      <c r="D50" s="66"/>
      <c r="F50" s="61"/>
      <c r="G50" s="61"/>
      <c r="H50" s="61"/>
      <c r="I50" s="61"/>
      <c r="J50" s="61"/>
      <c r="K50" s="61"/>
      <c r="L50" s="61"/>
      <c r="M50" s="67"/>
      <c r="N50" s="67"/>
      <c r="O50" s="61"/>
      <c r="P50" s="61"/>
      <c r="Q50" s="61"/>
      <c r="R50" s="61"/>
      <c r="S50" s="61"/>
    </row>
    <row r="51" spans="3:19" ht="12.75">
      <c r="C51" s="66"/>
      <c r="D51" s="66"/>
      <c r="F51" s="61"/>
      <c r="G51" s="61"/>
      <c r="H51" s="61"/>
      <c r="I51" s="61"/>
      <c r="J51" s="61"/>
      <c r="K51" s="61"/>
      <c r="L51" s="61"/>
      <c r="M51" s="67"/>
      <c r="N51" s="67"/>
      <c r="O51" s="61"/>
      <c r="P51" s="61"/>
      <c r="Q51" s="61"/>
      <c r="R51" s="61"/>
      <c r="S51" s="61"/>
    </row>
    <row r="52" spans="3:19" ht="12.75">
      <c r="C52" s="66"/>
      <c r="D52" s="66"/>
      <c r="F52" s="61"/>
      <c r="G52" s="61"/>
      <c r="H52" s="61"/>
      <c r="I52" s="61"/>
      <c r="J52" s="61"/>
      <c r="K52" s="61"/>
      <c r="L52" s="61"/>
      <c r="M52" s="67"/>
      <c r="N52" s="67"/>
      <c r="O52" s="61"/>
      <c r="P52" s="61"/>
      <c r="Q52" s="61"/>
      <c r="R52" s="61"/>
      <c r="S52" s="61"/>
    </row>
    <row r="53" spans="3:19" ht="12.75">
      <c r="C53" s="66"/>
      <c r="D53" s="66"/>
      <c r="F53" s="61"/>
      <c r="G53" s="61"/>
      <c r="H53" s="61"/>
      <c r="I53" s="61"/>
      <c r="J53" s="61"/>
      <c r="K53" s="61"/>
      <c r="L53" s="61"/>
      <c r="M53" s="67"/>
      <c r="N53" s="67"/>
      <c r="O53" s="61"/>
      <c r="P53" s="61"/>
      <c r="Q53" s="61"/>
      <c r="R53" s="61"/>
      <c r="S53" s="61"/>
    </row>
    <row r="54" spans="3:19" ht="12.75">
      <c r="C54" s="66"/>
      <c r="D54" s="66"/>
      <c r="F54" s="61"/>
      <c r="G54" s="61"/>
      <c r="H54" s="61"/>
      <c r="I54" s="61"/>
      <c r="J54" s="61"/>
      <c r="K54" s="61"/>
      <c r="L54" s="61"/>
      <c r="M54" s="67"/>
      <c r="N54" s="67"/>
      <c r="O54" s="61"/>
      <c r="P54" s="61"/>
      <c r="Q54" s="61"/>
      <c r="R54" s="61"/>
      <c r="S54" s="61"/>
    </row>
    <row r="55" spans="3:19" ht="12.75">
      <c r="C55" s="66"/>
      <c r="D55" s="66"/>
      <c r="F55" s="61"/>
      <c r="G55" s="61"/>
      <c r="H55" s="61"/>
      <c r="I55" s="61"/>
      <c r="J55" s="61"/>
      <c r="K55" s="61"/>
      <c r="L55" s="61"/>
      <c r="M55" s="67"/>
      <c r="N55" s="67"/>
      <c r="O55" s="61"/>
      <c r="P55" s="61"/>
      <c r="Q55" s="61"/>
      <c r="R55" s="61"/>
      <c r="S55" s="61"/>
    </row>
    <row r="56" spans="3:19" ht="12.75">
      <c r="C56" s="66"/>
      <c r="D56" s="66"/>
      <c r="F56" s="61"/>
      <c r="G56" s="61"/>
      <c r="H56" s="61"/>
      <c r="I56" s="61"/>
      <c r="J56" s="61"/>
      <c r="K56" s="61"/>
      <c r="L56" s="61"/>
      <c r="M56" s="67"/>
      <c r="N56" s="67"/>
      <c r="O56" s="61"/>
      <c r="P56" s="61"/>
      <c r="Q56" s="61"/>
      <c r="R56" s="61"/>
      <c r="S56" s="61"/>
    </row>
    <row r="57" spans="3:19" ht="12.75">
      <c r="C57" s="66"/>
      <c r="D57" s="66"/>
      <c r="F57" s="61"/>
      <c r="G57" s="61"/>
      <c r="H57" s="61"/>
      <c r="I57" s="61"/>
      <c r="J57" s="61"/>
      <c r="K57" s="61"/>
      <c r="L57" s="61"/>
      <c r="M57" s="67"/>
      <c r="N57" s="67"/>
      <c r="O57" s="61"/>
      <c r="P57" s="61"/>
      <c r="Q57" s="61"/>
      <c r="R57" s="61"/>
      <c r="S57" s="61"/>
    </row>
    <row r="58" spans="3:19" ht="12.75">
      <c r="C58" s="66"/>
      <c r="D58" s="66"/>
      <c r="F58" s="61"/>
      <c r="G58" s="61"/>
      <c r="H58" s="61"/>
      <c r="I58" s="61"/>
      <c r="J58" s="61"/>
      <c r="K58" s="61"/>
      <c r="L58" s="61"/>
      <c r="M58" s="67"/>
      <c r="N58" s="67"/>
      <c r="O58" s="61"/>
      <c r="P58" s="61"/>
      <c r="Q58" s="61"/>
      <c r="R58" s="61"/>
      <c r="S58" s="61"/>
    </row>
    <row r="59" spans="3:19" ht="12.75">
      <c r="C59" s="66"/>
      <c r="D59" s="66"/>
      <c r="F59" s="61"/>
      <c r="G59" s="61"/>
      <c r="H59" s="61"/>
      <c r="I59" s="61"/>
      <c r="J59" s="61"/>
      <c r="K59" s="61"/>
      <c r="L59" s="61"/>
      <c r="M59" s="67"/>
      <c r="N59" s="67"/>
      <c r="O59" s="61"/>
      <c r="P59" s="61"/>
      <c r="Q59" s="61"/>
      <c r="R59" s="61"/>
      <c r="S59" s="61"/>
    </row>
    <row r="60" spans="3:19" ht="12.75">
      <c r="C60" s="66"/>
      <c r="D60" s="66"/>
      <c r="F60" s="61"/>
      <c r="G60" s="61"/>
      <c r="H60" s="61"/>
      <c r="I60" s="61"/>
      <c r="J60" s="61"/>
      <c r="K60" s="61"/>
      <c r="L60" s="61"/>
      <c r="M60" s="67"/>
      <c r="N60" s="67"/>
      <c r="O60" s="61"/>
      <c r="P60" s="61"/>
      <c r="Q60" s="61"/>
      <c r="R60" s="61"/>
      <c r="S60" s="61"/>
    </row>
    <row r="61" spans="3:19" ht="12.75">
      <c r="C61" s="66"/>
      <c r="D61" s="66"/>
      <c r="F61" s="61"/>
      <c r="G61" s="61"/>
      <c r="H61" s="61"/>
      <c r="I61" s="61"/>
      <c r="J61" s="61"/>
      <c r="K61" s="61"/>
      <c r="L61" s="61"/>
      <c r="M61" s="67"/>
      <c r="N61" s="67"/>
      <c r="O61" s="61"/>
      <c r="P61" s="61"/>
      <c r="Q61" s="61"/>
      <c r="R61" s="61"/>
      <c r="S61" s="61"/>
    </row>
    <row r="62" spans="3:19" ht="12.75">
      <c r="C62" s="66"/>
      <c r="D62" s="66"/>
      <c r="F62" s="61"/>
      <c r="G62" s="61"/>
      <c r="H62" s="61"/>
      <c r="I62" s="61"/>
      <c r="J62" s="61"/>
      <c r="K62" s="61"/>
      <c r="L62" s="61"/>
      <c r="M62" s="67"/>
      <c r="N62" s="67"/>
      <c r="O62" s="61"/>
      <c r="P62" s="61"/>
      <c r="Q62" s="61"/>
      <c r="R62" s="61"/>
      <c r="S62" s="61"/>
    </row>
    <row r="63" spans="3:19" ht="12.75">
      <c r="C63" s="66"/>
      <c r="D63" s="66"/>
      <c r="F63" s="61"/>
      <c r="G63" s="61"/>
      <c r="H63" s="61"/>
      <c r="I63" s="61"/>
      <c r="J63" s="61"/>
      <c r="K63" s="61"/>
      <c r="L63" s="61"/>
      <c r="M63" s="67"/>
      <c r="N63" s="67"/>
      <c r="O63" s="61"/>
      <c r="P63" s="61"/>
      <c r="Q63" s="61"/>
      <c r="R63" s="61"/>
      <c r="S63" s="61"/>
    </row>
    <row r="64" spans="3:19" ht="12.75">
      <c r="C64" s="66"/>
      <c r="D64" s="66"/>
      <c r="F64" s="61"/>
      <c r="G64" s="61"/>
      <c r="H64" s="61"/>
      <c r="I64" s="61"/>
      <c r="J64" s="61"/>
      <c r="K64" s="61"/>
      <c r="L64" s="61"/>
      <c r="M64" s="67"/>
      <c r="N64" s="67"/>
      <c r="O64" s="61"/>
      <c r="P64" s="61"/>
      <c r="Q64" s="61"/>
      <c r="R64" s="61"/>
      <c r="S64" s="61"/>
    </row>
    <row r="65" spans="3:19" ht="12.75">
      <c r="C65" s="66"/>
      <c r="D65" s="66"/>
      <c r="F65" s="61"/>
      <c r="G65" s="61"/>
      <c r="H65" s="61"/>
      <c r="I65" s="61"/>
      <c r="J65" s="61"/>
      <c r="K65" s="61"/>
      <c r="L65" s="61"/>
      <c r="M65" s="67"/>
      <c r="N65" s="67"/>
      <c r="O65" s="61"/>
      <c r="P65" s="61"/>
      <c r="Q65" s="61"/>
      <c r="R65" s="61"/>
      <c r="S65" s="61"/>
    </row>
    <row r="66" spans="3:19" ht="12.75">
      <c r="C66" s="66"/>
      <c r="D66" s="66"/>
      <c r="F66" s="61"/>
      <c r="G66" s="61"/>
      <c r="H66" s="61"/>
      <c r="I66" s="61"/>
      <c r="J66" s="61"/>
      <c r="K66" s="61"/>
      <c r="L66" s="61"/>
      <c r="M66" s="67"/>
      <c r="N66" s="67"/>
      <c r="O66" s="61"/>
      <c r="P66" s="61"/>
      <c r="Q66" s="61"/>
      <c r="R66" s="61"/>
      <c r="S66" s="61"/>
    </row>
    <row r="67" spans="3:19" ht="12.75">
      <c r="C67" s="66"/>
      <c r="D67" s="66"/>
      <c r="F67" s="61"/>
      <c r="G67" s="61"/>
      <c r="H67" s="61"/>
      <c r="I67" s="61"/>
      <c r="J67" s="61"/>
      <c r="K67" s="61"/>
      <c r="L67" s="61"/>
      <c r="M67" s="67"/>
      <c r="N67" s="67"/>
      <c r="O67" s="61"/>
      <c r="P67" s="61"/>
      <c r="Q67" s="61"/>
      <c r="R67" s="61"/>
      <c r="S67" s="61"/>
    </row>
    <row r="68" spans="3:19" ht="12.75">
      <c r="C68" s="66"/>
      <c r="D68" s="66"/>
      <c r="F68" s="61"/>
      <c r="G68" s="61"/>
      <c r="H68" s="61"/>
      <c r="I68" s="61"/>
      <c r="J68" s="61"/>
      <c r="K68" s="61"/>
      <c r="L68" s="61"/>
      <c r="M68" s="67"/>
      <c r="N68" s="67"/>
      <c r="O68" s="61"/>
      <c r="P68" s="61"/>
      <c r="Q68" s="61"/>
      <c r="R68" s="61"/>
      <c r="S68" s="61"/>
    </row>
    <row r="69" spans="3:19" ht="12.75">
      <c r="C69" s="66"/>
      <c r="D69" s="66"/>
      <c r="F69" s="61"/>
      <c r="G69" s="61"/>
      <c r="H69" s="61"/>
      <c r="I69" s="61"/>
      <c r="J69" s="61"/>
      <c r="K69" s="61"/>
      <c r="L69" s="61"/>
      <c r="M69" s="67"/>
      <c r="N69" s="67"/>
      <c r="O69" s="61"/>
      <c r="P69" s="61"/>
      <c r="Q69" s="61"/>
      <c r="R69" s="61"/>
      <c r="S69" s="61"/>
    </row>
    <row r="70" spans="3:19" ht="12.75">
      <c r="C70" s="66"/>
      <c r="D70" s="66"/>
      <c r="F70" s="61"/>
      <c r="G70" s="61"/>
      <c r="H70" s="61"/>
      <c r="I70" s="61"/>
      <c r="J70" s="61"/>
      <c r="K70" s="61"/>
      <c r="L70" s="61"/>
      <c r="M70" s="67"/>
      <c r="N70" s="67"/>
      <c r="O70" s="61"/>
      <c r="P70" s="61"/>
      <c r="Q70" s="61"/>
      <c r="R70" s="61"/>
      <c r="S70" s="61"/>
    </row>
    <row r="71" spans="3:19" ht="12.75">
      <c r="C71" s="66"/>
      <c r="D71" s="66"/>
      <c r="F71" s="61"/>
      <c r="G71" s="61"/>
      <c r="H71" s="61"/>
      <c r="I71" s="61"/>
      <c r="J71" s="61"/>
      <c r="K71" s="61"/>
      <c r="L71" s="61"/>
      <c r="M71" s="67"/>
      <c r="N71" s="67"/>
      <c r="O71" s="61"/>
      <c r="P71" s="61"/>
      <c r="Q71" s="61"/>
      <c r="R71" s="61"/>
      <c r="S71" s="61"/>
    </row>
    <row r="72" spans="3:19" ht="12.75">
      <c r="C72" s="66"/>
      <c r="D72" s="66"/>
      <c r="F72" s="61"/>
      <c r="G72" s="61"/>
      <c r="H72" s="61"/>
      <c r="I72" s="61"/>
      <c r="J72" s="61"/>
      <c r="K72" s="61"/>
      <c r="L72" s="61"/>
      <c r="M72" s="67"/>
      <c r="N72" s="67"/>
      <c r="O72" s="61"/>
      <c r="P72" s="61"/>
      <c r="Q72" s="61"/>
      <c r="R72" s="61"/>
      <c r="S72" s="61"/>
    </row>
    <row r="73" spans="3:19" ht="12.75">
      <c r="C73" s="66"/>
      <c r="D73" s="66"/>
      <c r="F73" s="61"/>
      <c r="G73" s="61"/>
      <c r="H73" s="61"/>
      <c r="I73" s="61"/>
      <c r="J73" s="61"/>
      <c r="K73" s="61"/>
      <c r="L73" s="61"/>
      <c r="M73" s="67"/>
      <c r="N73" s="67"/>
      <c r="O73" s="61"/>
      <c r="P73" s="61"/>
      <c r="Q73" s="61"/>
      <c r="R73" s="61"/>
      <c r="S73" s="61"/>
    </row>
    <row r="74" spans="3:19" ht="12.75">
      <c r="C74" s="66"/>
      <c r="D74" s="66"/>
      <c r="F74" s="61"/>
      <c r="G74" s="61"/>
      <c r="H74" s="61"/>
      <c r="I74" s="61"/>
      <c r="J74" s="61"/>
      <c r="K74" s="61"/>
      <c r="L74" s="61"/>
      <c r="M74" s="67"/>
      <c r="N74" s="67"/>
      <c r="O74" s="61"/>
      <c r="P74" s="61"/>
      <c r="Q74" s="61"/>
      <c r="R74" s="61"/>
      <c r="S74" s="61"/>
    </row>
    <row r="75" spans="3:19" ht="12.75">
      <c r="C75" s="66"/>
      <c r="D75" s="66"/>
      <c r="F75" s="61"/>
      <c r="G75" s="61"/>
      <c r="H75" s="61"/>
      <c r="I75" s="61"/>
      <c r="J75" s="61"/>
      <c r="K75" s="61"/>
      <c r="L75" s="61"/>
      <c r="M75" s="67"/>
      <c r="N75" s="67"/>
      <c r="O75" s="61"/>
      <c r="P75" s="61"/>
      <c r="Q75" s="61"/>
      <c r="R75" s="61"/>
      <c r="S75" s="61"/>
    </row>
    <row r="76" spans="3:19" ht="12.75">
      <c r="C76" s="66"/>
      <c r="D76" s="66"/>
      <c r="F76" s="61"/>
      <c r="G76" s="61"/>
      <c r="H76" s="61"/>
      <c r="I76" s="61"/>
      <c r="J76" s="61"/>
      <c r="K76" s="61"/>
      <c r="L76" s="61"/>
      <c r="M76" s="67"/>
      <c r="N76" s="67"/>
      <c r="O76" s="61"/>
      <c r="P76" s="61"/>
      <c r="Q76" s="61"/>
      <c r="R76" s="61"/>
      <c r="S76" s="61"/>
    </row>
    <row r="77" spans="3:19" ht="12.75">
      <c r="C77" s="66"/>
      <c r="D77" s="66"/>
      <c r="F77" s="61"/>
      <c r="G77" s="61"/>
      <c r="H77" s="61"/>
      <c r="I77" s="61"/>
      <c r="J77" s="61"/>
      <c r="K77" s="61"/>
      <c r="L77" s="61"/>
      <c r="M77" s="67"/>
      <c r="N77" s="67"/>
      <c r="O77" s="61"/>
      <c r="P77" s="61"/>
      <c r="Q77" s="61"/>
      <c r="R77" s="61"/>
      <c r="S77" s="61"/>
    </row>
    <row r="78" spans="3:19" ht="12.75">
      <c r="C78" s="66"/>
      <c r="D78" s="66"/>
      <c r="F78" s="61"/>
      <c r="G78" s="61"/>
      <c r="H78" s="61"/>
      <c r="I78" s="61"/>
      <c r="J78" s="61"/>
      <c r="K78" s="61"/>
      <c r="L78" s="61"/>
      <c r="M78" s="67"/>
      <c r="N78" s="67"/>
      <c r="O78" s="61"/>
      <c r="P78" s="61"/>
      <c r="Q78" s="61"/>
      <c r="R78" s="61"/>
      <c r="S78" s="61"/>
    </row>
    <row r="79" spans="3:19" ht="12.75">
      <c r="C79" s="66"/>
      <c r="D79" s="66"/>
      <c r="F79" s="61"/>
      <c r="G79" s="61"/>
      <c r="H79" s="61"/>
      <c r="I79" s="61"/>
      <c r="J79" s="61"/>
      <c r="K79" s="61"/>
      <c r="L79" s="61"/>
      <c r="M79" s="67"/>
      <c r="N79" s="67"/>
      <c r="O79" s="61"/>
      <c r="P79" s="61"/>
      <c r="Q79" s="61"/>
      <c r="R79" s="61"/>
      <c r="S79" s="61"/>
    </row>
    <row r="80" spans="3:19" ht="12.75">
      <c r="C80" s="66"/>
      <c r="D80" s="66"/>
      <c r="F80" s="61"/>
      <c r="G80" s="61"/>
      <c r="H80" s="61"/>
      <c r="I80" s="61"/>
      <c r="J80" s="61"/>
      <c r="K80" s="61"/>
      <c r="L80" s="61"/>
      <c r="M80" s="67"/>
      <c r="N80" s="67"/>
      <c r="O80" s="61"/>
      <c r="P80" s="61"/>
      <c r="Q80" s="61"/>
      <c r="R80" s="61"/>
      <c r="S80" s="61"/>
    </row>
    <row r="81" spans="3:19" ht="12.75">
      <c r="C81" s="66"/>
      <c r="D81" s="66"/>
      <c r="F81" s="61"/>
      <c r="G81" s="61"/>
      <c r="H81" s="61"/>
      <c r="I81" s="61"/>
      <c r="J81" s="61"/>
      <c r="K81" s="61"/>
      <c r="L81" s="61"/>
      <c r="M81" s="67"/>
      <c r="N81" s="67"/>
      <c r="O81" s="61"/>
      <c r="P81" s="61"/>
      <c r="Q81" s="61"/>
      <c r="R81" s="61"/>
      <c r="S81" s="61"/>
    </row>
    <row r="82" spans="3:19" ht="12.75">
      <c r="C82" s="66"/>
      <c r="D82" s="66"/>
      <c r="F82" s="61"/>
      <c r="G82" s="61"/>
      <c r="H82" s="61"/>
      <c r="I82" s="61"/>
      <c r="J82" s="61"/>
      <c r="K82" s="61"/>
      <c r="L82" s="61"/>
      <c r="M82" s="67"/>
      <c r="N82" s="67"/>
      <c r="O82" s="61"/>
      <c r="P82" s="61"/>
      <c r="Q82" s="61"/>
      <c r="R82" s="61"/>
      <c r="S82" s="61"/>
    </row>
    <row r="83" spans="3:19" ht="12.75">
      <c r="C83" s="66"/>
      <c r="D83" s="66"/>
      <c r="F83" s="61"/>
      <c r="G83" s="61"/>
      <c r="H83" s="61"/>
      <c r="I83" s="61"/>
      <c r="J83" s="61"/>
      <c r="K83" s="61"/>
      <c r="L83" s="61"/>
      <c r="M83" s="67"/>
      <c r="N83" s="67"/>
      <c r="O83" s="61"/>
      <c r="P83" s="61"/>
      <c r="Q83" s="61"/>
      <c r="R83" s="61"/>
      <c r="S83" s="61"/>
    </row>
    <row r="84" spans="3:19" ht="12.75">
      <c r="C84" s="66"/>
      <c r="D84" s="66"/>
      <c r="F84" s="61"/>
      <c r="G84" s="61"/>
      <c r="H84" s="61"/>
      <c r="I84" s="61"/>
      <c r="J84" s="61"/>
      <c r="K84" s="61"/>
      <c r="L84" s="61"/>
      <c r="M84" s="67"/>
      <c r="N84" s="67"/>
      <c r="O84" s="61"/>
      <c r="P84" s="61"/>
      <c r="Q84" s="61"/>
      <c r="R84" s="61"/>
      <c r="S84" s="61"/>
    </row>
    <row r="85" spans="3:19" ht="12.75">
      <c r="C85" s="66"/>
      <c r="D85" s="66"/>
      <c r="F85" s="61"/>
      <c r="G85" s="61"/>
      <c r="H85" s="61"/>
      <c r="I85" s="61"/>
      <c r="J85" s="61"/>
      <c r="K85" s="61"/>
      <c r="L85" s="61"/>
      <c r="M85" s="67"/>
      <c r="N85" s="67"/>
      <c r="O85" s="61"/>
      <c r="P85" s="61"/>
      <c r="Q85" s="61"/>
      <c r="R85" s="61"/>
      <c r="S85" s="61"/>
    </row>
    <row r="86" spans="3:19" ht="12.75">
      <c r="C86" s="66"/>
      <c r="D86" s="66"/>
      <c r="F86" s="61"/>
      <c r="G86" s="61"/>
      <c r="H86" s="61"/>
      <c r="I86" s="61"/>
      <c r="J86" s="61"/>
      <c r="K86" s="61"/>
      <c r="L86" s="61"/>
      <c r="M86" s="67"/>
      <c r="N86" s="67"/>
      <c r="O86" s="61"/>
      <c r="P86" s="61"/>
      <c r="Q86" s="61"/>
      <c r="R86" s="61"/>
      <c r="S86" s="61"/>
    </row>
    <row r="87" spans="3:19" ht="12.75">
      <c r="C87" s="66"/>
      <c r="D87" s="66"/>
      <c r="F87" s="61"/>
      <c r="G87" s="61"/>
      <c r="H87" s="61"/>
      <c r="I87" s="61"/>
      <c r="J87" s="61"/>
      <c r="K87" s="61"/>
      <c r="L87" s="61"/>
      <c r="M87" s="67"/>
      <c r="N87" s="67"/>
      <c r="O87" s="61"/>
      <c r="P87" s="61"/>
      <c r="Q87" s="61"/>
      <c r="R87" s="61"/>
      <c r="S87" s="61"/>
    </row>
    <row r="88" spans="3:19" ht="12.75">
      <c r="C88" s="66"/>
      <c r="D88" s="66"/>
      <c r="F88" s="61"/>
      <c r="G88" s="61"/>
      <c r="H88" s="61"/>
      <c r="I88" s="61"/>
      <c r="J88" s="61"/>
      <c r="K88" s="61"/>
      <c r="L88" s="61"/>
      <c r="M88" s="67"/>
      <c r="N88" s="67"/>
      <c r="O88" s="61"/>
      <c r="P88" s="61"/>
      <c r="Q88" s="61"/>
      <c r="R88" s="61"/>
      <c r="S88" s="61"/>
    </row>
    <row r="89" spans="3:19" ht="12.75">
      <c r="C89" s="66"/>
      <c r="D89" s="66"/>
      <c r="F89" s="61"/>
      <c r="G89" s="61"/>
      <c r="H89" s="61"/>
      <c r="I89" s="61"/>
      <c r="J89" s="61"/>
      <c r="K89" s="61"/>
      <c r="L89" s="61"/>
      <c r="M89" s="67"/>
      <c r="N89" s="67"/>
      <c r="O89" s="61"/>
      <c r="P89" s="61"/>
      <c r="Q89" s="61"/>
      <c r="R89" s="61"/>
      <c r="S89" s="61"/>
    </row>
    <row r="90" spans="3:19" ht="12.75">
      <c r="C90" s="66"/>
      <c r="D90" s="66"/>
      <c r="F90" s="61"/>
      <c r="G90" s="61"/>
      <c r="H90" s="61"/>
      <c r="I90" s="61"/>
      <c r="J90" s="61"/>
      <c r="K90" s="61"/>
      <c r="L90" s="61"/>
      <c r="M90" s="67"/>
      <c r="N90" s="67"/>
      <c r="O90" s="61"/>
      <c r="P90" s="61"/>
      <c r="Q90" s="61"/>
      <c r="R90" s="61"/>
      <c r="S90" s="61"/>
    </row>
    <row r="91" spans="3:19" ht="12.75">
      <c r="C91" s="66"/>
      <c r="D91" s="66"/>
      <c r="F91" s="61"/>
      <c r="G91" s="61"/>
      <c r="H91" s="61"/>
      <c r="I91" s="61"/>
      <c r="J91" s="61"/>
      <c r="K91" s="61"/>
      <c r="L91" s="61"/>
      <c r="M91" s="67"/>
      <c r="N91" s="67"/>
      <c r="O91" s="61"/>
      <c r="P91" s="61"/>
      <c r="Q91" s="61"/>
      <c r="R91" s="61"/>
      <c r="S91" s="61"/>
    </row>
    <row r="92" spans="3:19" ht="12.75">
      <c r="C92" s="66"/>
      <c r="D92" s="66"/>
      <c r="F92" s="61"/>
      <c r="G92" s="61"/>
      <c r="H92" s="61"/>
      <c r="I92" s="61"/>
      <c r="J92" s="61"/>
      <c r="K92" s="61"/>
      <c r="L92" s="61"/>
      <c r="M92" s="67"/>
      <c r="N92" s="67"/>
      <c r="O92" s="61"/>
      <c r="P92" s="61"/>
      <c r="Q92" s="61"/>
      <c r="R92" s="61"/>
      <c r="S92" s="61"/>
    </row>
    <row r="93" spans="3:19" ht="12.75">
      <c r="C93" s="66"/>
      <c r="D93" s="66"/>
      <c r="F93" s="61"/>
      <c r="G93" s="61"/>
      <c r="H93" s="61"/>
      <c r="I93" s="61"/>
      <c r="J93" s="61"/>
      <c r="K93" s="61"/>
      <c r="L93" s="61"/>
      <c r="M93" s="67"/>
      <c r="N93" s="67"/>
      <c r="O93" s="61"/>
      <c r="P93" s="61"/>
      <c r="Q93" s="61"/>
      <c r="R93" s="61"/>
      <c r="S93" s="61"/>
    </row>
    <row r="94" spans="3:19" ht="12.75">
      <c r="C94" s="66"/>
      <c r="D94" s="66"/>
      <c r="F94" s="61"/>
      <c r="G94" s="61"/>
      <c r="H94" s="61"/>
      <c r="I94" s="61"/>
      <c r="J94" s="61"/>
      <c r="K94" s="61"/>
      <c r="L94" s="61"/>
      <c r="M94" s="67"/>
      <c r="N94" s="67"/>
      <c r="O94" s="61"/>
      <c r="P94" s="61"/>
      <c r="Q94" s="61"/>
      <c r="R94" s="61"/>
      <c r="S94" s="61"/>
    </row>
    <row r="95" spans="3:19" ht="12.75">
      <c r="C95" s="66"/>
      <c r="D95" s="66"/>
      <c r="F95" s="61"/>
      <c r="G95" s="61"/>
      <c r="H95" s="61"/>
      <c r="I95" s="61"/>
      <c r="J95" s="61"/>
      <c r="K95" s="61"/>
      <c r="L95" s="61"/>
      <c r="M95" s="67"/>
      <c r="N95" s="67"/>
      <c r="O95" s="61"/>
      <c r="P95" s="61"/>
      <c r="Q95" s="61"/>
      <c r="R95" s="61"/>
      <c r="S95" s="61"/>
    </row>
    <row r="96" spans="3:19" ht="12.75">
      <c r="C96" s="66"/>
      <c r="D96" s="66"/>
      <c r="F96" s="61"/>
      <c r="G96" s="61"/>
      <c r="H96" s="61"/>
      <c r="I96" s="61"/>
      <c r="J96" s="61"/>
      <c r="K96" s="61"/>
      <c r="L96" s="61"/>
      <c r="M96" s="67"/>
      <c r="N96" s="67"/>
      <c r="O96" s="61"/>
      <c r="P96" s="61"/>
      <c r="Q96" s="61"/>
      <c r="R96" s="61"/>
      <c r="S96" s="61"/>
    </row>
    <row r="97" spans="3:19" ht="12.75">
      <c r="C97" s="66"/>
      <c r="D97" s="66"/>
      <c r="F97" s="61"/>
      <c r="G97" s="61"/>
      <c r="H97" s="61"/>
      <c r="I97" s="61"/>
      <c r="J97" s="61"/>
      <c r="K97" s="61"/>
      <c r="L97" s="61"/>
      <c r="M97" s="67"/>
      <c r="N97" s="67"/>
      <c r="O97" s="61"/>
      <c r="P97" s="61"/>
      <c r="Q97" s="61"/>
      <c r="R97" s="61"/>
      <c r="S97" s="61"/>
    </row>
    <row r="98" spans="3:19" ht="12.75">
      <c r="C98" s="66"/>
      <c r="D98" s="66"/>
      <c r="F98" s="61"/>
      <c r="G98" s="61"/>
      <c r="H98" s="61"/>
      <c r="I98" s="61"/>
      <c r="J98" s="61"/>
      <c r="K98" s="61"/>
      <c r="L98" s="61"/>
      <c r="M98" s="67"/>
      <c r="N98" s="67"/>
      <c r="O98" s="61"/>
      <c r="P98" s="61"/>
      <c r="Q98" s="61"/>
      <c r="R98" s="61"/>
      <c r="S98" s="61"/>
    </row>
    <row r="99" spans="3:19" ht="12.75">
      <c r="C99" s="66"/>
      <c r="D99" s="66"/>
      <c r="F99" s="61"/>
      <c r="G99" s="61"/>
      <c r="H99" s="61"/>
      <c r="I99" s="61"/>
      <c r="J99" s="61"/>
      <c r="K99" s="61"/>
      <c r="L99" s="61"/>
      <c r="M99" s="67"/>
      <c r="N99" s="67"/>
      <c r="O99" s="61"/>
      <c r="P99" s="61"/>
      <c r="Q99" s="61"/>
      <c r="R99" s="61"/>
      <c r="S99" s="61"/>
    </row>
    <row r="100" spans="3:19" ht="12.75">
      <c r="C100" s="66"/>
      <c r="D100" s="66"/>
      <c r="F100" s="61"/>
      <c r="G100" s="61"/>
      <c r="H100" s="61"/>
      <c r="I100" s="61"/>
      <c r="J100" s="61"/>
      <c r="K100" s="61"/>
      <c r="L100" s="61"/>
      <c r="M100" s="67"/>
      <c r="N100" s="67"/>
      <c r="O100" s="61"/>
      <c r="P100" s="61"/>
      <c r="Q100" s="61"/>
      <c r="R100" s="61"/>
      <c r="S100" s="61"/>
    </row>
    <row r="101" spans="3:19" ht="12.75">
      <c r="C101" s="66"/>
      <c r="D101" s="66"/>
      <c r="F101" s="61"/>
      <c r="G101" s="61"/>
      <c r="H101" s="61"/>
      <c r="I101" s="61"/>
      <c r="J101" s="61"/>
      <c r="K101" s="61"/>
      <c r="L101" s="61"/>
      <c r="M101" s="67"/>
      <c r="N101" s="67"/>
      <c r="O101" s="61"/>
      <c r="P101" s="61"/>
      <c r="Q101" s="61"/>
      <c r="R101" s="61"/>
      <c r="S101" s="61"/>
    </row>
    <row r="102" spans="3:19" ht="12.75">
      <c r="C102" s="66"/>
      <c r="D102" s="66"/>
      <c r="F102" s="61"/>
      <c r="G102" s="61"/>
      <c r="H102" s="61"/>
      <c r="I102" s="61"/>
      <c r="J102" s="61"/>
      <c r="K102" s="61"/>
      <c r="L102" s="61"/>
      <c r="M102" s="67"/>
      <c r="N102" s="67"/>
      <c r="O102" s="61"/>
      <c r="P102" s="61"/>
      <c r="Q102" s="61"/>
      <c r="R102" s="61"/>
      <c r="S102" s="61"/>
    </row>
    <row r="103" spans="3:19" ht="12.75">
      <c r="C103" s="66"/>
      <c r="D103" s="66"/>
      <c r="F103" s="61"/>
      <c r="G103" s="61"/>
      <c r="H103" s="61"/>
      <c r="I103" s="61"/>
      <c r="J103" s="61"/>
      <c r="K103" s="61"/>
      <c r="L103" s="61"/>
      <c r="M103" s="67"/>
      <c r="N103" s="67"/>
      <c r="O103" s="61"/>
      <c r="P103" s="61"/>
      <c r="Q103" s="61"/>
      <c r="R103" s="61"/>
      <c r="S103" s="61"/>
    </row>
    <row r="104" spans="3:19" ht="12.75">
      <c r="C104" s="66"/>
      <c r="D104" s="66"/>
      <c r="F104" s="61"/>
      <c r="G104" s="61"/>
      <c r="H104" s="61"/>
      <c r="I104" s="61"/>
      <c r="J104" s="61"/>
      <c r="K104" s="61"/>
      <c r="L104" s="61"/>
      <c r="M104" s="67"/>
      <c r="N104" s="67"/>
      <c r="O104" s="61"/>
      <c r="P104" s="61"/>
      <c r="Q104" s="61"/>
      <c r="R104" s="61"/>
      <c r="S104" s="61"/>
    </row>
    <row r="105" spans="3:19" ht="12.75">
      <c r="C105" s="66"/>
      <c r="D105" s="66"/>
      <c r="F105" s="61"/>
      <c r="G105" s="61"/>
      <c r="H105" s="61"/>
      <c r="I105" s="61"/>
      <c r="J105" s="61"/>
      <c r="K105" s="61"/>
      <c r="L105" s="61"/>
      <c r="M105" s="67"/>
      <c r="N105" s="67"/>
      <c r="O105" s="61"/>
      <c r="P105" s="61"/>
      <c r="Q105" s="61"/>
      <c r="R105" s="61"/>
      <c r="S105" s="61"/>
    </row>
    <row r="106" spans="3:19" ht="12.75">
      <c r="C106" s="66"/>
      <c r="D106" s="66"/>
      <c r="F106" s="61"/>
      <c r="G106" s="61"/>
      <c r="H106" s="61"/>
      <c r="I106" s="61"/>
      <c r="J106" s="61"/>
      <c r="K106" s="61"/>
      <c r="L106" s="61"/>
      <c r="M106" s="67"/>
      <c r="N106" s="67"/>
      <c r="O106" s="61"/>
      <c r="P106" s="61"/>
      <c r="Q106" s="61"/>
      <c r="R106" s="61"/>
      <c r="S106" s="61"/>
    </row>
    <row r="107" spans="3:19" ht="12.75">
      <c r="C107" s="66"/>
      <c r="D107" s="66"/>
      <c r="F107" s="61"/>
      <c r="G107" s="61"/>
      <c r="H107" s="61"/>
      <c r="I107" s="61"/>
      <c r="J107" s="61"/>
      <c r="K107" s="61"/>
      <c r="L107" s="61"/>
      <c r="M107" s="67"/>
      <c r="N107" s="67"/>
      <c r="O107" s="61"/>
      <c r="P107" s="61"/>
      <c r="Q107" s="61"/>
      <c r="R107" s="61"/>
      <c r="S107" s="61"/>
    </row>
    <row r="108" spans="3:19" ht="12.75">
      <c r="C108" s="66"/>
      <c r="D108" s="66"/>
      <c r="F108" s="61"/>
      <c r="G108" s="61"/>
      <c r="H108" s="61"/>
      <c r="I108" s="61"/>
      <c r="J108" s="61"/>
      <c r="K108" s="61"/>
      <c r="L108" s="61"/>
      <c r="M108" s="67"/>
      <c r="N108" s="67"/>
      <c r="O108" s="61"/>
      <c r="P108" s="61"/>
      <c r="Q108" s="61"/>
      <c r="R108" s="61"/>
      <c r="S108" s="61"/>
    </row>
    <row r="109" spans="3:19" ht="12.75">
      <c r="C109" s="66"/>
      <c r="D109" s="66"/>
      <c r="F109" s="61"/>
      <c r="G109" s="61"/>
      <c r="H109" s="61"/>
      <c r="I109" s="61"/>
      <c r="J109" s="61"/>
      <c r="K109" s="61"/>
      <c r="L109" s="61"/>
      <c r="M109" s="67"/>
      <c r="N109" s="67"/>
      <c r="O109" s="61"/>
      <c r="P109" s="61"/>
      <c r="Q109" s="61"/>
      <c r="R109" s="61"/>
      <c r="S109" s="61"/>
    </row>
    <row r="110" spans="3:19" ht="12.75">
      <c r="C110" s="66"/>
      <c r="D110" s="66"/>
      <c r="F110" s="61"/>
      <c r="G110" s="61"/>
      <c r="H110" s="61"/>
      <c r="I110" s="61"/>
      <c r="J110" s="61"/>
      <c r="K110" s="61"/>
      <c r="L110" s="61"/>
      <c r="M110" s="67"/>
      <c r="N110" s="67"/>
      <c r="O110" s="61"/>
      <c r="P110" s="61"/>
      <c r="Q110" s="61"/>
      <c r="R110" s="61"/>
      <c r="S110" s="61"/>
    </row>
    <row r="111" spans="3:19" ht="12.75">
      <c r="C111" s="66"/>
      <c r="D111" s="66"/>
      <c r="F111" s="61"/>
      <c r="G111" s="61"/>
      <c r="H111" s="61"/>
      <c r="I111" s="61"/>
      <c r="J111" s="61"/>
      <c r="K111" s="61"/>
      <c r="L111" s="61"/>
      <c r="M111" s="67"/>
      <c r="N111" s="67"/>
      <c r="O111" s="61"/>
      <c r="P111" s="61"/>
      <c r="Q111" s="61"/>
      <c r="R111" s="61"/>
      <c r="S111" s="61"/>
    </row>
    <row r="112" spans="3:19" ht="12.75">
      <c r="C112" s="66"/>
      <c r="D112" s="66"/>
      <c r="F112" s="61"/>
      <c r="G112" s="61"/>
      <c r="H112" s="61"/>
      <c r="I112" s="61"/>
      <c r="J112" s="61"/>
      <c r="K112" s="61"/>
      <c r="L112" s="61"/>
      <c r="M112" s="67"/>
      <c r="N112" s="67"/>
      <c r="O112" s="61"/>
      <c r="P112" s="61"/>
      <c r="Q112" s="61"/>
      <c r="R112" s="61"/>
      <c r="S112" s="61"/>
    </row>
    <row r="113" spans="3:19" ht="12.75">
      <c r="C113" s="66"/>
      <c r="D113" s="66"/>
      <c r="F113" s="61"/>
      <c r="G113" s="61"/>
      <c r="H113" s="61"/>
      <c r="I113" s="61"/>
      <c r="J113" s="61"/>
      <c r="K113" s="61"/>
      <c r="L113" s="61"/>
      <c r="M113" s="67"/>
      <c r="N113" s="67"/>
      <c r="O113" s="61"/>
      <c r="P113" s="61"/>
      <c r="Q113" s="61"/>
      <c r="R113" s="61"/>
      <c r="S113" s="61"/>
    </row>
    <row r="114" spans="3:19" ht="12.75">
      <c r="C114" s="66"/>
      <c r="D114" s="66"/>
      <c r="F114" s="61"/>
      <c r="G114" s="61"/>
      <c r="H114" s="61"/>
      <c r="I114" s="61"/>
      <c r="J114" s="61"/>
      <c r="K114" s="61"/>
      <c r="L114" s="61"/>
      <c r="M114" s="67"/>
      <c r="N114" s="67"/>
      <c r="O114" s="61"/>
      <c r="P114" s="61"/>
      <c r="Q114" s="61"/>
      <c r="R114" s="61"/>
      <c r="S114" s="61"/>
    </row>
    <row r="115" spans="3:19" ht="12.75">
      <c r="C115" s="66"/>
      <c r="D115" s="66"/>
      <c r="F115" s="61"/>
      <c r="G115" s="61"/>
      <c r="H115" s="61"/>
      <c r="I115" s="61"/>
      <c r="J115" s="61"/>
      <c r="K115" s="61"/>
      <c r="L115" s="61"/>
      <c r="M115" s="67"/>
      <c r="N115" s="67"/>
      <c r="O115" s="61"/>
      <c r="P115" s="61"/>
      <c r="Q115" s="61"/>
      <c r="R115" s="61"/>
      <c r="S115" s="61"/>
    </row>
    <row r="116" spans="3:19" ht="12.75">
      <c r="C116" s="66"/>
      <c r="D116" s="66"/>
      <c r="F116" s="61"/>
      <c r="G116" s="61"/>
      <c r="H116" s="61"/>
      <c r="I116" s="61"/>
      <c r="J116" s="61"/>
      <c r="K116" s="61"/>
      <c r="L116" s="61"/>
      <c r="M116" s="67"/>
      <c r="N116" s="67"/>
      <c r="O116" s="61"/>
      <c r="P116" s="61"/>
      <c r="Q116" s="61"/>
      <c r="R116" s="61"/>
      <c r="S116" s="61"/>
    </row>
    <row r="117" spans="3:19" ht="12.75">
      <c r="C117" s="66"/>
      <c r="D117" s="66"/>
      <c r="F117" s="61"/>
      <c r="G117" s="61"/>
      <c r="H117" s="61"/>
      <c r="I117" s="61"/>
      <c r="J117" s="61"/>
      <c r="K117" s="61"/>
      <c r="L117" s="61"/>
      <c r="M117" s="67"/>
      <c r="N117" s="67"/>
      <c r="O117" s="61"/>
      <c r="P117" s="61"/>
      <c r="Q117" s="61"/>
      <c r="R117" s="61"/>
      <c r="S117" s="61"/>
    </row>
    <row r="118" spans="3:19" ht="12.75">
      <c r="C118" s="66"/>
      <c r="D118" s="66"/>
      <c r="F118" s="61"/>
      <c r="G118" s="61"/>
      <c r="H118" s="61"/>
      <c r="I118" s="61"/>
      <c r="J118" s="61"/>
      <c r="K118" s="61"/>
      <c r="L118" s="61"/>
      <c r="M118" s="67"/>
      <c r="N118" s="67"/>
      <c r="O118" s="61"/>
      <c r="P118" s="61"/>
      <c r="Q118" s="61"/>
      <c r="R118" s="61"/>
      <c r="S118" s="61"/>
    </row>
    <row r="119" spans="3:19" ht="12.75">
      <c r="C119" s="66"/>
      <c r="D119" s="66"/>
      <c r="F119" s="61"/>
      <c r="G119" s="61"/>
      <c r="H119" s="61"/>
      <c r="I119" s="61"/>
      <c r="J119" s="61"/>
      <c r="K119" s="61"/>
      <c r="L119" s="61"/>
      <c r="M119" s="67"/>
      <c r="N119" s="67"/>
      <c r="O119" s="61"/>
      <c r="P119" s="61"/>
      <c r="Q119" s="61"/>
      <c r="R119" s="61"/>
      <c r="S119" s="61"/>
    </row>
    <row r="120" spans="3:19" ht="12.75">
      <c r="C120" s="66"/>
      <c r="D120" s="66"/>
      <c r="F120" s="61"/>
      <c r="G120" s="61"/>
      <c r="H120" s="61"/>
      <c r="I120" s="61"/>
      <c r="J120" s="61"/>
      <c r="K120" s="61"/>
      <c r="L120" s="61"/>
      <c r="M120" s="67"/>
      <c r="N120" s="67"/>
      <c r="O120" s="61"/>
      <c r="P120" s="61"/>
      <c r="Q120" s="61"/>
      <c r="R120" s="61"/>
      <c r="S120" s="61"/>
    </row>
    <row r="121" spans="3:19" ht="12.75">
      <c r="C121" s="66"/>
      <c r="D121" s="66"/>
      <c r="F121" s="61"/>
      <c r="G121" s="61"/>
      <c r="H121" s="61"/>
      <c r="I121" s="61"/>
      <c r="J121" s="61"/>
      <c r="K121" s="61"/>
      <c r="L121" s="61"/>
      <c r="M121" s="67"/>
      <c r="N121" s="67"/>
      <c r="O121" s="61"/>
      <c r="P121" s="61"/>
      <c r="Q121" s="61"/>
      <c r="R121" s="61"/>
      <c r="S121" s="61"/>
    </row>
    <row r="122" spans="3:19" ht="12.75">
      <c r="C122" s="66"/>
      <c r="D122" s="66"/>
      <c r="F122" s="61"/>
      <c r="G122" s="61"/>
      <c r="H122" s="61"/>
      <c r="I122" s="61"/>
      <c r="J122" s="61"/>
      <c r="K122" s="61"/>
      <c r="L122" s="61"/>
      <c r="M122" s="67"/>
      <c r="N122" s="67"/>
      <c r="O122" s="61"/>
      <c r="P122" s="61"/>
      <c r="Q122" s="61"/>
      <c r="R122" s="61"/>
      <c r="S122" s="61"/>
    </row>
    <row r="123" spans="3:19" ht="12.75">
      <c r="C123" s="66"/>
      <c r="D123" s="66"/>
      <c r="F123" s="61"/>
      <c r="G123" s="61"/>
      <c r="H123" s="61"/>
      <c r="I123" s="61"/>
      <c r="J123" s="61"/>
      <c r="K123" s="61"/>
      <c r="L123" s="61"/>
      <c r="M123" s="67"/>
      <c r="N123" s="67"/>
      <c r="O123" s="61"/>
      <c r="P123" s="61"/>
      <c r="Q123" s="61"/>
      <c r="R123" s="61"/>
      <c r="S123" s="61"/>
    </row>
    <row r="124" spans="3:19" ht="12.75">
      <c r="C124" s="66"/>
      <c r="D124" s="66"/>
      <c r="F124" s="61"/>
      <c r="G124" s="61"/>
      <c r="H124" s="61"/>
      <c r="I124" s="61"/>
      <c r="J124" s="61"/>
      <c r="K124" s="61"/>
      <c r="L124" s="61"/>
      <c r="M124" s="67"/>
      <c r="N124" s="67"/>
      <c r="O124" s="61"/>
      <c r="P124" s="61"/>
      <c r="Q124" s="61"/>
      <c r="R124" s="61"/>
      <c r="S124" s="61"/>
    </row>
    <row r="125" spans="3:19" ht="12.75">
      <c r="C125" s="66"/>
      <c r="D125" s="66"/>
      <c r="F125" s="61"/>
      <c r="G125" s="61"/>
      <c r="H125" s="61"/>
      <c r="I125" s="61"/>
      <c r="J125" s="61"/>
      <c r="K125" s="61"/>
      <c r="L125" s="61"/>
      <c r="M125" s="67"/>
      <c r="N125" s="67"/>
      <c r="O125" s="61"/>
      <c r="P125" s="61"/>
      <c r="Q125" s="61"/>
      <c r="R125" s="61"/>
      <c r="S125" s="61"/>
    </row>
    <row r="126" spans="3:19" ht="12.75">
      <c r="C126" s="66"/>
      <c r="D126" s="66"/>
      <c r="F126" s="61"/>
      <c r="G126" s="61"/>
      <c r="H126" s="61"/>
      <c r="I126" s="61"/>
      <c r="J126" s="61"/>
      <c r="K126" s="61"/>
      <c r="L126" s="61"/>
      <c r="M126" s="67"/>
      <c r="N126" s="67"/>
      <c r="O126" s="61"/>
      <c r="P126" s="61"/>
      <c r="Q126" s="61"/>
      <c r="R126" s="61"/>
      <c r="S126" s="61"/>
    </row>
    <row r="127" spans="3:19" ht="12.75">
      <c r="C127" s="66"/>
      <c r="D127" s="66"/>
      <c r="F127" s="61"/>
      <c r="G127" s="61"/>
      <c r="H127" s="61"/>
      <c r="I127" s="61"/>
      <c r="J127" s="61"/>
      <c r="K127" s="61"/>
      <c r="L127" s="61"/>
      <c r="M127" s="67"/>
      <c r="N127" s="67"/>
      <c r="O127" s="61"/>
      <c r="P127" s="61"/>
      <c r="Q127" s="61"/>
      <c r="R127" s="61"/>
      <c r="S127" s="61"/>
    </row>
    <row r="128" spans="3:19" ht="12.75">
      <c r="C128" s="66"/>
      <c r="D128" s="66"/>
      <c r="F128" s="61"/>
      <c r="G128" s="61"/>
      <c r="H128" s="61"/>
      <c r="I128" s="61"/>
      <c r="J128" s="61"/>
      <c r="K128" s="61"/>
      <c r="L128" s="61"/>
      <c r="M128" s="67"/>
      <c r="N128" s="67"/>
      <c r="O128" s="61"/>
      <c r="P128" s="61"/>
      <c r="Q128" s="61"/>
      <c r="R128" s="61"/>
      <c r="S128" s="61"/>
    </row>
    <row r="129" spans="3:19" ht="12.75">
      <c r="C129" s="66"/>
      <c r="D129" s="66"/>
      <c r="F129" s="61"/>
      <c r="G129" s="61"/>
      <c r="H129" s="61"/>
      <c r="I129" s="61"/>
      <c r="J129" s="61"/>
      <c r="K129" s="61"/>
      <c r="L129" s="61"/>
      <c r="M129" s="67"/>
      <c r="N129" s="67"/>
      <c r="O129" s="61"/>
      <c r="P129" s="61"/>
      <c r="Q129" s="61"/>
      <c r="R129" s="61"/>
      <c r="S129" s="61"/>
    </row>
    <row r="130" spans="3:19" ht="12.75">
      <c r="C130" s="66"/>
      <c r="D130" s="66"/>
      <c r="F130" s="61"/>
      <c r="G130" s="61"/>
      <c r="H130" s="61"/>
      <c r="I130" s="61"/>
      <c r="J130" s="61"/>
      <c r="K130" s="61"/>
      <c r="L130" s="61"/>
      <c r="M130" s="67"/>
      <c r="N130" s="67"/>
      <c r="O130" s="61"/>
      <c r="P130" s="61"/>
      <c r="Q130" s="61"/>
      <c r="R130" s="61"/>
      <c r="S130" s="61"/>
    </row>
    <row r="131" spans="3:19" ht="12.75">
      <c r="C131" s="66"/>
      <c r="D131" s="66"/>
      <c r="F131" s="61"/>
      <c r="G131" s="61"/>
      <c r="H131" s="61"/>
      <c r="I131" s="61"/>
      <c r="J131" s="61"/>
      <c r="K131" s="61"/>
      <c r="L131" s="61"/>
      <c r="M131" s="67"/>
      <c r="N131" s="67"/>
      <c r="O131" s="61"/>
      <c r="P131" s="61"/>
      <c r="Q131" s="61"/>
      <c r="R131" s="61"/>
      <c r="S131" s="61"/>
    </row>
    <row r="132" spans="3:19" ht="12.75">
      <c r="C132" s="66"/>
      <c r="D132" s="66"/>
      <c r="F132" s="61"/>
      <c r="G132" s="61"/>
      <c r="H132" s="61"/>
      <c r="I132" s="61"/>
      <c r="J132" s="61"/>
      <c r="K132" s="61"/>
      <c r="L132" s="61"/>
      <c r="M132" s="67"/>
      <c r="N132" s="67"/>
      <c r="O132" s="61"/>
      <c r="P132" s="61"/>
      <c r="Q132" s="61"/>
      <c r="R132" s="61"/>
      <c r="S132" s="61"/>
    </row>
    <row r="133" spans="3:19" ht="12.75">
      <c r="C133" s="66"/>
      <c r="D133" s="66"/>
      <c r="F133" s="61"/>
      <c r="G133" s="61"/>
      <c r="H133" s="61"/>
      <c r="I133" s="61"/>
      <c r="J133" s="61"/>
      <c r="K133" s="61"/>
      <c r="L133" s="61"/>
      <c r="M133" s="67"/>
      <c r="N133" s="67"/>
      <c r="O133" s="61"/>
      <c r="P133" s="61"/>
      <c r="Q133" s="61"/>
      <c r="R133" s="61"/>
      <c r="S133" s="61"/>
    </row>
    <row r="134" spans="3:19" ht="12.75">
      <c r="C134" s="66"/>
      <c r="D134" s="66"/>
      <c r="F134" s="61"/>
      <c r="G134" s="61"/>
      <c r="H134" s="61"/>
      <c r="I134" s="61"/>
      <c r="J134" s="61"/>
      <c r="K134" s="61"/>
      <c r="L134" s="61"/>
      <c r="M134" s="67"/>
      <c r="N134" s="67"/>
      <c r="O134" s="61"/>
      <c r="P134" s="61"/>
      <c r="Q134" s="61"/>
      <c r="R134" s="61"/>
      <c r="S134" s="61"/>
    </row>
    <row r="135" spans="3:19" ht="12.75">
      <c r="C135" s="66"/>
      <c r="D135" s="66"/>
      <c r="F135" s="61"/>
      <c r="G135" s="61"/>
      <c r="H135" s="61"/>
      <c r="I135" s="61"/>
      <c r="J135" s="61"/>
      <c r="K135" s="61"/>
      <c r="L135" s="61"/>
      <c r="M135" s="67"/>
      <c r="N135" s="67"/>
      <c r="O135" s="61"/>
      <c r="P135" s="61"/>
      <c r="Q135" s="61"/>
      <c r="R135" s="61"/>
      <c r="S135" s="61"/>
    </row>
    <row r="136" spans="3:19" ht="12.75">
      <c r="C136" s="66"/>
      <c r="D136" s="66"/>
      <c r="F136" s="61"/>
      <c r="G136" s="61"/>
      <c r="H136" s="61"/>
      <c r="I136" s="61"/>
      <c r="J136" s="61"/>
      <c r="K136" s="61"/>
      <c r="L136" s="61"/>
      <c r="M136" s="67"/>
      <c r="N136" s="67"/>
      <c r="O136" s="61"/>
      <c r="P136" s="61"/>
      <c r="Q136" s="61"/>
      <c r="R136" s="61"/>
      <c r="S136" s="61"/>
    </row>
    <row r="137" spans="3:19" ht="12.75">
      <c r="C137" s="66"/>
      <c r="D137" s="66"/>
      <c r="F137" s="61"/>
      <c r="G137" s="61"/>
      <c r="H137" s="61"/>
      <c r="I137" s="61"/>
      <c r="J137" s="61"/>
      <c r="K137" s="61"/>
      <c r="L137" s="61"/>
      <c r="M137" s="67"/>
      <c r="N137" s="67"/>
      <c r="O137" s="61"/>
      <c r="P137" s="61"/>
      <c r="Q137" s="61"/>
      <c r="R137" s="61"/>
      <c r="S137" s="61"/>
    </row>
    <row r="138" spans="3:19" ht="12.75">
      <c r="C138" s="66"/>
      <c r="D138" s="66"/>
      <c r="F138" s="61"/>
      <c r="G138" s="61"/>
      <c r="H138" s="61"/>
      <c r="I138" s="61"/>
      <c r="J138" s="61"/>
      <c r="K138" s="61"/>
      <c r="L138" s="61"/>
      <c r="M138" s="67"/>
      <c r="N138" s="67"/>
      <c r="O138" s="61"/>
      <c r="P138" s="61"/>
      <c r="Q138" s="61"/>
      <c r="R138" s="61"/>
      <c r="S138" s="61"/>
    </row>
    <row r="139" spans="3:19" ht="12.75">
      <c r="C139" s="66"/>
      <c r="D139" s="66"/>
      <c r="F139" s="61"/>
      <c r="G139" s="61"/>
      <c r="H139" s="61"/>
      <c r="I139" s="61"/>
      <c r="J139" s="61"/>
      <c r="K139" s="61"/>
      <c r="L139" s="61"/>
      <c r="M139" s="67"/>
      <c r="N139" s="67"/>
      <c r="O139" s="61"/>
      <c r="P139" s="61"/>
      <c r="Q139" s="61"/>
      <c r="R139" s="61"/>
      <c r="S139" s="61"/>
    </row>
    <row r="140" spans="3:19" ht="12.75">
      <c r="C140" s="66"/>
      <c r="D140" s="66"/>
      <c r="F140" s="61"/>
      <c r="G140" s="61"/>
      <c r="H140" s="61"/>
      <c r="I140" s="61"/>
      <c r="J140" s="61"/>
      <c r="K140" s="61"/>
      <c r="L140" s="61"/>
      <c r="M140" s="67"/>
      <c r="N140" s="67"/>
      <c r="O140" s="61"/>
      <c r="P140" s="61"/>
      <c r="Q140" s="61"/>
      <c r="R140" s="61"/>
      <c r="S140" s="61"/>
    </row>
    <row r="141" spans="3:19" ht="12.75">
      <c r="C141" s="66"/>
      <c r="D141" s="66"/>
      <c r="F141" s="61"/>
      <c r="G141" s="61"/>
      <c r="H141" s="61"/>
      <c r="I141" s="61"/>
      <c r="J141" s="61"/>
      <c r="K141" s="61"/>
      <c r="L141" s="61"/>
      <c r="M141" s="67"/>
      <c r="N141" s="67"/>
      <c r="O141" s="61"/>
      <c r="P141" s="61"/>
      <c r="Q141" s="61"/>
      <c r="R141" s="61"/>
      <c r="S141" s="61"/>
    </row>
    <row r="142" spans="3:19" ht="12.75">
      <c r="C142" s="66"/>
      <c r="D142" s="66"/>
      <c r="F142" s="61"/>
      <c r="G142" s="61"/>
      <c r="H142" s="61"/>
      <c r="I142" s="61"/>
      <c r="J142" s="61"/>
      <c r="K142" s="61"/>
      <c r="L142" s="61"/>
      <c r="M142" s="67"/>
      <c r="N142" s="67"/>
      <c r="O142" s="61"/>
      <c r="P142" s="61"/>
      <c r="Q142" s="61"/>
      <c r="R142" s="61"/>
      <c r="S142" s="61"/>
    </row>
    <row r="143" spans="3:19" ht="12.75">
      <c r="C143" s="66"/>
      <c r="D143" s="66"/>
      <c r="F143" s="61"/>
      <c r="G143" s="61"/>
      <c r="H143" s="61"/>
      <c r="I143" s="61"/>
      <c r="J143" s="61"/>
      <c r="K143" s="61"/>
      <c r="L143" s="61"/>
      <c r="M143" s="67"/>
      <c r="N143" s="67"/>
      <c r="O143" s="61"/>
      <c r="P143" s="61"/>
      <c r="Q143" s="61"/>
      <c r="R143" s="61"/>
      <c r="S143" s="61"/>
    </row>
    <row r="144" spans="3:19" ht="12.75">
      <c r="C144" s="66"/>
      <c r="D144" s="66"/>
      <c r="F144" s="61"/>
      <c r="G144" s="61"/>
      <c r="H144" s="61"/>
      <c r="I144" s="61"/>
      <c r="J144" s="61"/>
      <c r="K144" s="61"/>
      <c r="L144" s="61"/>
      <c r="M144" s="67"/>
      <c r="N144" s="67"/>
      <c r="O144" s="61"/>
      <c r="P144" s="61"/>
      <c r="Q144" s="61"/>
      <c r="R144" s="61"/>
      <c r="S144" s="61"/>
    </row>
    <row r="145" spans="3:19" ht="12.75">
      <c r="C145" s="66"/>
      <c r="D145" s="66"/>
      <c r="F145" s="61"/>
      <c r="G145" s="61"/>
      <c r="H145" s="61"/>
      <c r="I145" s="61"/>
      <c r="J145" s="61"/>
      <c r="K145" s="61"/>
      <c r="L145" s="61"/>
      <c r="M145" s="67"/>
      <c r="N145" s="67"/>
      <c r="O145" s="61"/>
      <c r="P145" s="61"/>
      <c r="Q145" s="61"/>
      <c r="R145" s="61"/>
      <c r="S145" s="61"/>
    </row>
    <row r="146" spans="3:19" ht="12.75">
      <c r="C146" s="66"/>
      <c r="D146" s="66"/>
      <c r="F146" s="61"/>
      <c r="G146" s="61"/>
      <c r="H146" s="61"/>
      <c r="I146" s="61"/>
      <c r="J146" s="61"/>
      <c r="K146" s="61"/>
      <c r="L146" s="61"/>
      <c r="M146" s="67"/>
      <c r="N146" s="67"/>
      <c r="O146" s="61"/>
      <c r="P146" s="61"/>
      <c r="Q146" s="61"/>
      <c r="R146" s="61"/>
      <c r="S146" s="61"/>
    </row>
    <row r="147" spans="3:19" ht="12.75">
      <c r="C147" s="66"/>
      <c r="D147" s="66"/>
      <c r="F147" s="61"/>
      <c r="G147" s="61"/>
      <c r="H147" s="61"/>
      <c r="I147" s="61"/>
      <c r="J147" s="61"/>
      <c r="K147" s="61"/>
      <c r="L147" s="61"/>
      <c r="M147" s="67"/>
      <c r="N147" s="67"/>
      <c r="O147" s="61"/>
      <c r="P147" s="61"/>
      <c r="Q147" s="61"/>
      <c r="R147" s="61"/>
      <c r="S147" s="61"/>
    </row>
    <row r="148" spans="3:19" ht="12.75">
      <c r="C148" s="66"/>
      <c r="D148" s="66"/>
      <c r="F148" s="61"/>
      <c r="G148" s="61"/>
      <c r="H148" s="61"/>
      <c r="I148" s="61"/>
      <c r="J148" s="61"/>
      <c r="K148" s="61"/>
      <c r="L148" s="61"/>
      <c r="M148" s="67"/>
      <c r="N148" s="67"/>
      <c r="O148" s="61"/>
      <c r="P148" s="61"/>
      <c r="Q148" s="61"/>
      <c r="R148" s="61"/>
      <c r="S148" s="61"/>
    </row>
    <row r="149" spans="3:19" ht="12.75">
      <c r="C149" s="66"/>
      <c r="D149" s="66"/>
      <c r="F149" s="61"/>
      <c r="G149" s="61"/>
      <c r="H149" s="61"/>
      <c r="I149" s="61"/>
      <c r="J149" s="61"/>
      <c r="K149" s="61"/>
      <c r="L149" s="61"/>
      <c r="M149" s="67"/>
      <c r="N149" s="67"/>
      <c r="O149" s="61"/>
      <c r="P149" s="61"/>
      <c r="Q149" s="61"/>
      <c r="R149" s="61"/>
      <c r="S149" s="61"/>
    </row>
    <row r="150" spans="3:19" ht="12.75">
      <c r="C150" s="66"/>
      <c r="D150" s="66"/>
      <c r="F150" s="61"/>
      <c r="G150" s="61"/>
      <c r="H150" s="61"/>
      <c r="I150" s="61"/>
      <c r="J150" s="61"/>
      <c r="K150" s="61"/>
      <c r="L150" s="61"/>
      <c r="M150" s="67"/>
      <c r="N150" s="67"/>
      <c r="O150" s="61"/>
      <c r="P150" s="61"/>
      <c r="Q150" s="61"/>
      <c r="R150" s="61"/>
      <c r="S150" s="61"/>
    </row>
    <row r="151" spans="3:19" ht="12.75">
      <c r="C151" s="66"/>
      <c r="D151" s="66"/>
      <c r="F151" s="61"/>
      <c r="G151" s="61"/>
      <c r="H151" s="61"/>
      <c r="I151" s="61"/>
      <c r="J151" s="61"/>
      <c r="K151" s="61"/>
      <c r="L151" s="61"/>
      <c r="M151" s="67"/>
      <c r="N151" s="67"/>
      <c r="O151" s="61"/>
      <c r="P151" s="61"/>
      <c r="Q151" s="61"/>
      <c r="R151" s="61"/>
      <c r="S151" s="61"/>
    </row>
    <row r="152" spans="3:19" ht="12.75">
      <c r="C152" s="66"/>
      <c r="D152" s="66"/>
      <c r="F152" s="61"/>
      <c r="G152" s="61"/>
      <c r="H152" s="61"/>
      <c r="I152" s="61"/>
      <c r="J152" s="61"/>
      <c r="K152" s="61"/>
      <c r="L152" s="61"/>
      <c r="M152" s="67"/>
      <c r="N152" s="67"/>
      <c r="O152" s="61"/>
      <c r="P152" s="61"/>
      <c r="Q152" s="61"/>
      <c r="R152" s="61"/>
      <c r="S152" s="61"/>
    </row>
    <row r="153" spans="3:19" ht="12.75">
      <c r="C153" s="66"/>
      <c r="D153" s="66"/>
      <c r="F153" s="61"/>
      <c r="G153" s="61"/>
      <c r="H153" s="61"/>
      <c r="I153" s="61"/>
      <c r="J153" s="61"/>
      <c r="K153" s="61"/>
      <c r="L153" s="61"/>
      <c r="M153" s="67"/>
      <c r="N153" s="67"/>
      <c r="O153" s="61"/>
      <c r="P153" s="61"/>
      <c r="Q153" s="61"/>
      <c r="R153" s="61"/>
      <c r="S153" s="61"/>
    </row>
    <row r="154" spans="3:19" ht="12.75">
      <c r="C154" s="66"/>
      <c r="D154" s="66"/>
      <c r="F154" s="61"/>
      <c r="G154" s="61"/>
      <c r="H154" s="61"/>
      <c r="I154" s="61"/>
      <c r="J154" s="61"/>
      <c r="K154" s="61"/>
      <c r="L154" s="61"/>
      <c r="M154" s="67"/>
      <c r="N154" s="67"/>
      <c r="O154" s="61"/>
      <c r="P154" s="61"/>
      <c r="Q154" s="61"/>
      <c r="R154" s="61"/>
      <c r="S154" s="61"/>
    </row>
    <row r="155" spans="3:19" ht="12.75">
      <c r="C155" s="66"/>
      <c r="D155" s="66"/>
      <c r="F155" s="61"/>
      <c r="G155" s="61"/>
      <c r="H155" s="61"/>
      <c r="I155" s="61"/>
      <c r="J155" s="61"/>
      <c r="K155" s="61"/>
      <c r="L155" s="61"/>
      <c r="M155" s="67"/>
      <c r="N155" s="67"/>
      <c r="O155" s="61"/>
      <c r="P155" s="61"/>
      <c r="Q155" s="61"/>
      <c r="R155" s="61"/>
      <c r="S155" s="61"/>
    </row>
    <row r="156" spans="3:19" ht="12.75">
      <c r="C156" s="66"/>
      <c r="D156" s="66"/>
      <c r="F156" s="61"/>
      <c r="G156" s="61"/>
      <c r="H156" s="61"/>
      <c r="I156" s="61"/>
      <c r="J156" s="61"/>
      <c r="K156" s="61"/>
      <c r="L156" s="61"/>
      <c r="M156" s="67"/>
      <c r="N156" s="67"/>
      <c r="O156" s="61"/>
      <c r="P156" s="61"/>
      <c r="Q156" s="61"/>
      <c r="R156" s="61"/>
      <c r="S156" s="61"/>
    </row>
    <row r="157" spans="3:19" ht="12.75">
      <c r="C157" s="66"/>
      <c r="D157" s="66"/>
      <c r="F157" s="61"/>
      <c r="G157" s="61"/>
      <c r="H157" s="61"/>
      <c r="I157" s="61"/>
      <c r="J157" s="61"/>
      <c r="K157" s="61"/>
      <c r="L157" s="61"/>
      <c r="M157" s="67"/>
      <c r="N157" s="67"/>
      <c r="O157" s="61"/>
      <c r="P157" s="61"/>
      <c r="Q157" s="61"/>
      <c r="R157" s="61"/>
      <c r="S157" s="61"/>
    </row>
    <row r="158" spans="3:19" ht="12.75">
      <c r="C158" s="66"/>
      <c r="D158" s="66"/>
      <c r="F158" s="61"/>
      <c r="G158" s="61"/>
      <c r="H158" s="61"/>
      <c r="I158" s="61"/>
      <c r="J158" s="61"/>
      <c r="K158" s="61"/>
      <c r="L158" s="61"/>
      <c r="M158" s="67"/>
      <c r="N158" s="67"/>
      <c r="O158" s="61"/>
      <c r="P158" s="61"/>
      <c r="Q158" s="61"/>
      <c r="R158" s="61"/>
      <c r="S158" s="61"/>
    </row>
    <row r="159" spans="3:19" ht="12.75">
      <c r="C159" s="66"/>
      <c r="D159" s="66"/>
      <c r="F159" s="61"/>
      <c r="G159" s="61"/>
      <c r="H159" s="61"/>
      <c r="I159" s="61"/>
      <c r="J159" s="61"/>
      <c r="K159" s="61"/>
      <c r="L159" s="61"/>
      <c r="M159" s="67"/>
      <c r="N159" s="67"/>
      <c r="O159" s="61"/>
      <c r="P159" s="61"/>
      <c r="Q159" s="61"/>
      <c r="R159" s="61"/>
      <c r="S159" s="61"/>
    </row>
    <row r="160" spans="3:19" ht="12.75">
      <c r="C160" s="66"/>
      <c r="D160" s="66"/>
      <c r="F160" s="61"/>
      <c r="G160" s="61"/>
      <c r="H160" s="61"/>
      <c r="I160" s="61"/>
      <c r="J160" s="61"/>
      <c r="K160" s="61"/>
      <c r="L160" s="61"/>
      <c r="M160" s="67"/>
      <c r="N160" s="67"/>
      <c r="O160" s="61"/>
      <c r="P160" s="61"/>
      <c r="Q160" s="61"/>
      <c r="R160" s="61"/>
      <c r="S160" s="61"/>
    </row>
    <row r="161" spans="3:19" ht="12.75">
      <c r="C161" s="66"/>
      <c r="D161" s="66"/>
      <c r="F161" s="61"/>
      <c r="G161" s="61"/>
      <c r="H161" s="61"/>
      <c r="I161" s="61"/>
      <c r="J161" s="61"/>
      <c r="K161" s="61"/>
      <c r="L161" s="61"/>
      <c r="M161" s="67"/>
      <c r="N161" s="67"/>
      <c r="O161" s="61"/>
      <c r="P161" s="61"/>
      <c r="Q161" s="61"/>
      <c r="R161" s="61"/>
      <c r="S161" s="61"/>
    </row>
    <row r="162" spans="3:19" ht="12.75">
      <c r="C162" s="66"/>
      <c r="D162" s="66"/>
      <c r="F162" s="61"/>
      <c r="G162" s="61"/>
      <c r="H162" s="61"/>
      <c r="I162" s="61"/>
      <c r="J162" s="61"/>
      <c r="K162" s="61"/>
      <c r="L162" s="61"/>
      <c r="M162" s="67"/>
      <c r="N162" s="67"/>
      <c r="O162" s="61"/>
      <c r="P162" s="61"/>
      <c r="Q162" s="61"/>
      <c r="R162" s="61"/>
      <c r="S162" s="61"/>
    </row>
    <row r="163" spans="3:19" ht="12.75">
      <c r="C163" s="66"/>
      <c r="D163" s="66"/>
      <c r="F163" s="61"/>
      <c r="G163" s="61"/>
      <c r="H163" s="61"/>
      <c r="I163" s="61"/>
      <c r="J163" s="61"/>
      <c r="K163" s="61"/>
      <c r="L163" s="61"/>
      <c r="M163" s="67"/>
      <c r="N163" s="67"/>
      <c r="O163" s="61"/>
      <c r="P163" s="61"/>
      <c r="Q163" s="61"/>
      <c r="R163" s="61"/>
      <c r="S163" s="61"/>
    </row>
    <row r="164" spans="3:19" ht="12.75">
      <c r="C164" s="66"/>
      <c r="D164" s="66"/>
      <c r="F164" s="61"/>
      <c r="G164" s="61"/>
      <c r="H164" s="61"/>
      <c r="I164" s="61"/>
      <c r="J164" s="61"/>
      <c r="K164" s="61"/>
      <c r="L164" s="61"/>
      <c r="M164" s="67"/>
      <c r="N164" s="67"/>
      <c r="O164" s="61"/>
      <c r="P164" s="61"/>
      <c r="Q164" s="61"/>
      <c r="R164" s="61"/>
      <c r="S164" s="61"/>
    </row>
    <row r="165" spans="3:19" ht="12.75">
      <c r="C165" s="66"/>
      <c r="D165" s="66"/>
      <c r="F165" s="61"/>
      <c r="G165" s="61"/>
      <c r="H165" s="61"/>
      <c r="I165" s="61"/>
      <c r="J165" s="61"/>
      <c r="K165" s="61"/>
      <c r="L165" s="61"/>
      <c r="M165" s="67"/>
      <c r="N165" s="67"/>
      <c r="O165" s="61"/>
      <c r="P165" s="61"/>
      <c r="Q165" s="61"/>
      <c r="R165" s="61"/>
      <c r="S165" s="61"/>
    </row>
    <row r="166" spans="3:19" ht="12.75">
      <c r="C166" s="66"/>
      <c r="D166" s="66"/>
      <c r="F166" s="61"/>
      <c r="G166" s="61"/>
      <c r="H166" s="61"/>
      <c r="I166" s="61"/>
      <c r="J166" s="61"/>
      <c r="K166" s="61"/>
      <c r="L166" s="61"/>
      <c r="M166" s="67"/>
      <c r="N166" s="67"/>
      <c r="O166" s="61"/>
      <c r="P166" s="61"/>
      <c r="Q166" s="61"/>
      <c r="R166" s="61"/>
      <c r="S166" s="61"/>
    </row>
    <row r="167" spans="3:19" ht="12.75">
      <c r="C167" s="66"/>
      <c r="D167" s="66"/>
      <c r="F167" s="61"/>
      <c r="G167" s="61"/>
      <c r="H167" s="61"/>
      <c r="I167" s="61"/>
      <c r="J167" s="61"/>
      <c r="K167" s="61"/>
      <c r="L167" s="61"/>
      <c r="M167" s="67"/>
      <c r="N167" s="67"/>
      <c r="O167" s="61"/>
      <c r="P167" s="61"/>
      <c r="Q167" s="61"/>
      <c r="R167" s="61"/>
      <c r="S167" s="61"/>
    </row>
    <row r="168" spans="3:19" ht="12.75">
      <c r="C168" s="66"/>
      <c r="D168" s="66"/>
      <c r="F168" s="61"/>
      <c r="G168" s="61"/>
      <c r="H168" s="61"/>
      <c r="I168" s="61"/>
      <c r="J168" s="61"/>
      <c r="K168" s="61"/>
      <c r="L168" s="61"/>
      <c r="M168" s="67"/>
      <c r="N168" s="67"/>
      <c r="O168" s="61"/>
      <c r="P168" s="61"/>
      <c r="Q168" s="61"/>
      <c r="R168" s="61"/>
      <c r="S168" s="61"/>
    </row>
    <row r="169" spans="3:19" ht="12.75">
      <c r="C169" s="66"/>
      <c r="D169" s="66"/>
      <c r="F169" s="61"/>
      <c r="G169" s="61"/>
      <c r="H169" s="61"/>
      <c r="I169" s="61"/>
      <c r="J169" s="61"/>
      <c r="K169" s="61"/>
      <c r="L169" s="61"/>
      <c r="M169" s="67"/>
      <c r="N169" s="67"/>
      <c r="O169" s="61"/>
      <c r="P169" s="61"/>
      <c r="Q169" s="61"/>
      <c r="R169" s="61"/>
      <c r="S169" s="61"/>
    </row>
    <row r="170" spans="3:19" ht="12.75">
      <c r="C170" s="66"/>
      <c r="D170" s="66"/>
      <c r="F170" s="61"/>
      <c r="G170" s="61"/>
      <c r="H170" s="61"/>
      <c r="I170" s="61"/>
      <c r="J170" s="61"/>
      <c r="K170" s="61"/>
      <c r="L170" s="61"/>
      <c r="M170" s="67"/>
      <c r="N170" s="67"/>
      <c r="O170" s="61"/>
      <c r="P170" s="61"/>
      <c r="Q170" s="61"/>
      <c r="R170" s="61"/>
      <c r="S170" s="61"/>
    </row>
    <row r="171" spans="3:19" ht="12.75">
      <c r="C171" s="66"/>
      <c r="D171" s="66"/>
      <c r="F171" s="61"/>
      <c r="G171" s="61"/>
      <c r="H171" s="61"/>
      <c r="I171" s="61"/>
      <c r="J171" s="61"/>
      <c r="K171" s="61"/>
      <c r="L171" s="61"/>
      <c r="M171" s="67"/>
      <c r="N171" s="67"/>
      <c r="O171" s="61"/>
      <c r="P171" s="61"/>
      <c r="Q171" s="61"/>
      <c r="R171" s="61"/>
      <c r="S171" s="61"/>
    </row>
    <row r="172" spans="3:19" ht="12.75">
      <c r="C172" s="66"/>
      <c r="D172" s="66"/>
      <c r="F172" s="61"/>
      <c r="G172" s="61"/>
      <c r="H172" s="61"/>
      <c r="I172" s="61"/>
      <c r="J172" s="61"/>
      <c r="K172" s="61"/>
      <c r="L172" s="61"/>
      <c r="M172" s="67"/>
      <c r="N172" s="67"/>
      <c r="O172" s="61"/>
      <c r="P172" s="61"/>
      <c r="Q172" s="61"/>
      <c r="R172" s="61"/>
      <c r="S172" s="61"/>
    </row>
    <row r="173" spans="3:19" ht="12.75">
      <c r="C173" s="66"/>
      <c r="D173" s="66"/>
      <c r="F173" s="61"/>
      <c r="G173" s="61"/>
      <c r="H173" s="61"/>
      <c r="I173" s="61"/>
      <c r="J173" s="61"/>
      <c r="K173" s="61"/>
      <c r="L173" s="61"/>
      <c r="M173" s="67"/>
      <c r="N173" s="67"/>
      <c r="O173" s="61"/>
      <c r="P173" s="61"/>
      <c r="Q173" s="61"/>
      <c r="R173" s="61"/>
      <c r="S173" s="61"/>
    </row>
    <row r="174" spans="3:19" ht="12.75">
      <c r="C174" s="66"/>
      <c r="D174" s="66"/>
      <c r="F174" s="61"/>
      <c r="G174" s="61"/>
      <c r="H174" s="61"/>
      <c r="I174" s="61"/>
      <c r="J174" s="61"/>
      <c r="K174" s="61"/>
      <c r="L174" s="61"/>
      <c r="M174" s="67"/>
      <c r="N174" s="67"/>
      <c r="O174" s="61"/>
      <c r="P174" s="61"/>
      <c r="Q174" s="61"/>
      <c r="R174" s="61"/>
      <c r="S174" s="61"/>
    </row>
    <row r="175" spans="3:19" ht="12.75">
      <c r="C175" s="66"/>
      <c r="D175" s="66"/>
      <c r="F175" s="61"/>
      <c r="G175" s="61"/>
      <c r="H175" s="61"/>
      <c r="I175" s="61"/>
      <c r="J175" s="61"/>
      <c r="K175" s="61"/>
      <c r="L175" s="61"/>
      <c r="M175" s="67"/>
      <c r="N175" s="67"/>
      <c r="O175" s="61"/>
      <c r="P175" s="61"/>
      <c r="Q175" s="61"/>
      <c r="R175" s="61"/>
      <c r="S175" s="61"/>
    </row>
    <row r="176" spans="3:19" ht="12.75">
      <c r="C176" s="66"/>
      <c r="D176" s="66"/>
      <c r="F176" s="61"/>
      <c r="G176" s="61"/>
      <c r="H176" s="61"/>
      <c r="I176" s="61"/>
      <c r="J176" s="61"/>
      <c r="K176" s="61"/>
      <c r="L176" s="61"/>
      <c r="M176" s="67"/>
      <c r="N176" s="67"/>
      <c r="O176" s="61"/>
      <c r="P176" s="61"/>
      <c r="Q176" s="61"/>
      <c r="R176" s="61"/>
      <c r="S176" s="61"/>
    </row>
    <row r="177" spans="3:19" ht="12.75">
      <c r="C177" s="66"/>
      <c r="D177" s="66"/>
      <c r="F177" s="61"/>
      <c r="G177" s="61"/>
      <c r="H177" s="61"/>
      <c r="I177" s="61"/>
      <c r="J177" s="61"/>
      <c r="K177" s="61"/>
      <c r="L177" s="61"/>
      <c r="M177" s="67"/>
      <c r="N177" s="67"/>
      <c r="O177" s="61"/>
      <c r="P177" s="61"/>
      <c r="Q177" s="61"/>
      <c r="R177" s="61"/>
      <c r="S177" s="61"/>
    </row>
    <row r="178" spans="3:19" ht="12.75">
      <c r="C178" s="66"/>
      <c r="D178" s="66"/>
      <c r="F178" s="61"/>
      <c r="G178" s="61"/>
      <c r="H178" s="61"/>
      <c r="I178" s="61"/>
      <c r="J178" s="61"/>
      <c r="K178" s="61"/>
      <c r="L178" s="61"/>
      <c r="M178" s="67"/>
      <c r="N178" s="67"/>
      <c r="O178" s="61"/>
      <c r="P178" s="61"/>
      <c r="Q178" s="61"/>
      <c r="R178" s="61"/>
      <c r="S178" s="61"/>
    </row>
    <row r="179" spans="3:19" ht="12.75">
      <c r="C179" s="66"/>
      <c r="D179" s="66"/>
      <c r="F179" s="61"/>
      <c r="G179" s="61"/>
      <c r="H179" s="61"/>
      <c r="I179" s="61"/>
      <c r="J179" s="61"/>
      <c r="K179" s="61"/>
      <c r="L179" s="61"/>
      <c r="M179" s="67"/>
      <c r="N179" s="67"/>
      <c r="O179" s="61"/>
      <c r="P179" s="61"/>
      <c r="Q179" s="61"/>
      <c r="R179" s="61"/>
      <c r="S179" s="61"/>
    </row>
    <row r="180" spans="3:19" ht="12.75">
      <c r="C180" s="66"/>
      <c r="D180" s="66"/>
      <c r="F180" s="61"/>
      <c r="G180" s="61"/>
      <c r="H180" s="61"/>
      <c r="I180" s="61"/>
      <c r="J180" s="61"/>
      <c r="K180" s="61"/>
      <c r="L180" s="61"/>
      <c r="M180" s="67"/>
      <c r="N180" s="67"/>
      <c r="O180" s="61"/>
      <c r="P180" s="61"/>
      <c r="Q180" s="61"/>
      <c r="R180" s="61"/>
      <c r="S180" s="61"/>
    </row>
    <row r="181" spans="3:19" ht="12.75">
      <c r="C181" s="66"/>
      <c r="D181" s="66"/>
      <c r="F181" s="61"/>
      <c r="G181" s="61"/>
      <c r="H181" s="61"/>
      <c r="I181" s="61"/>
      <c r="J181" s="61"/>
      <c r="K181" s="61"/>
      <c r="L181" s="61"/>
      <c r="M181" s="67"/>
      <c r="N181" s="67"/>
      <c r="O181" s="61"/>
      <c r="P181" s="61"/>
      <c r="Q181" s="61"/>
      <c r="R181" s="61"/>
      <c r="S181" s="61"/>
    </row>
    <row r="182" spans="3:19" ht="12.75">
      <c r="C182" s="66"/>
      <c r="D182" s="66"/>
      <c r="F182" s="61"/>
      <c r="G182" s="61"/>
      <c r="H182" s="61"/>
      <c r="I182" s="61"/>
      <c r="J182" s="61"/>
      <c r="K182" s="61"/>
      <c r="L182" s="61"/>
      <c r="M182" s="67"/>
      <c r="N182" s="67"/>
      <c r="O182" s="61"/>
      <c r="P182" s="61"/>
      <c r="Q182" s="61"/>
      <c r="R182" s="61"/>
      <c r="S182" s="61"/>
    </row>
    <row r="183" spans="3:19" ht="12.75">
      <c r="C183" s="66"/>
      <c r="D183" s="66"/>
      <c r="F183" s="61"/>
      <c r="G183" s="61"/>
      <c r="H183" s="61"/>
      <c r="I183" s="61"/>
      <c r="J183" s="61"/>
      <c r="K183" s="61"/>
      <c r="L183" s="61"/>
      <c r="M183" s="67"/>
      <c r="N183" s="67"/>
      <c r="O183" s="61"/>
      <c r="P183" s="61"/>
      <c r="Q183" s="61"/>
      <c r="R183" s="61"/>
      <c r="S183" s="61"/>
    </row>
    <row r="184" spans="3:19" ht="12.75">
      <c r="C184" s="66"/>
      <c r="D184" s="66"/>
      <c r="F184" s="61"/>
      <c r="G184" s="61"/>
      <c r="H184" s="61"/>
      <c r="I184" s="61"/>
      <c r="J184" s="61"/>
      <c r="K184" s="61"/>
      <c r="L184" s="61"/>
      <c r="M184" s="67"/>
      <c r="N184" s="67"/>
      <c r="O184" s="61"/>
      <c r="P184" s="61"/>
      <c r="Q184" s="61"/>
      <c r="R184" s="61"/>
      <c r="S184" s="61"/>
    </row>
    <row r="185" spans="3:19" ht="12.75">
      <c r="C185" s="66"/>
      <c r="D185" s="66"/>
      <c r="F185" s="61"/>
      <c r="G185" s="61"/>
      <c r="H185" s="61"/>
      <c r="I185" s="61"/>
      <c r="J185" s="61"/>
      <c r="K185" s="61"/>
      <c r="L185" s="61"/>
      <c r="M185" s="67"/>
      <c r="N185" s="67"/>
      <c r="O185" s="61"/>
      <c r="P185" s="61"/>
      <c r="Q185" s="61"/>
      <c r="R185" s="61"/>
      <c r="S185" s="61"/>
    </row>
    <row r="186" spans="3:19" ht="12.75">
      <c r="C186" s="66"/>
      <c r="D186" s="66"/>
      <c r="F186" s="61"/>
      <c r="G186" s="61"/>
      <c r="H186" s="61"/>
      <c r="I186" s="61"/>
      <c r="J186" s="61"/>
      <c r="K186" s="61"/>
      <c r="L186" s="61"/>
      <c r="M186" s="67"/>
      <c r="N186" s="67"/>
      <c r="O186" s="61"/>
      <c r="P186" s="61"/>
      <c r="Q186" s="61"/>
      <c r="R186" s="61"/>
      <c r="S186" s="61"/>
    </row>
    <row r="187" spans="3:19" ht="12.75">
      <c r="C187" s="66"/>
      <c r="D187" s="66"/>
      <c r="F187" s="61"/>
      <c r="G187" s="61"/>
      <c r="H187" s="61"/>
      <c r="I187" s="61"/>
      <c r="J187" s="61"/>
      <c r="K187" s="61"/>
      <c r="L187" s="61"/>
      <c r="M187" s="67"/>
      <c r="N187" s="67"/>
      <c r="O187" s="61"/>
      <c r="P187" s="61"/>
      <c r="Q187" s="61"/>
      <c r="R187" s="61"/>
      <c r="S187" s="61"/>
    </row>
    <row r="188" spans="3:19" ht="12.75">
      <c r="C188" s="66"/>
      <c r="D188" s="66"/>
      <c r="F188" s="61"/>
      <c r="G188" s="61"/>
      <c r="H188" s="61"/>
      <c r="I188" s="61"/>
      <c r="J188" s="61"/>
      <c r="K188" s="61"/>
      <c r="L188" s="61"/>
      <c r="M188" s="67"/>
      <c r="N188" s="67"/>
      <c r="O188" s="61"/>
      <c r="P188" s="61"/>
      <c r="Q188" s="61"/>
      <c r="R188" s="61"/>
      <c r="S188" s="61"/>
    </row>
    <row r="189" spans="3:19" ht="12.75">
      <c r="C189" s="66"/>
      <c r="D189" s="66"/>
      <c r="F189" s="61"/>
      <c r="G189" s="61"/>
      <c r="H189" s="61"/>
      <c r="I189" s="61"/>
      <c r="J189" s="61"/>
      <c r="K189" s="61"/>
      <c r="L189" s="61"/>
      <c r="M189" s="67"/>
      <c r="N189" s="67"/>
      <c r="O189" s="61"/>
      <c r="P189" s="61"/>
      <c r="Q189" s="61"/>
      <c r="R189" s="61"/>
      <c r="S189" s="61"/>
    </row>
    <row r="190" spans="3:19" ht="12.75">
      <c r="C190" s="66"/>
      <c r="D190" s="66"/>
      <c r="F190" s="61"/>
      <c r="G190" s="61"/>
      <c r="H190" s="61"/>
      <c r="I190" s="61"/>
      <c r="J190" s="61"/>
      <c r="K190" s="61"/>
      <c r="L190" s="61"/>
      <c r="M190" s="67"/>
      <c r="N190" s="67"/>
      <c r="O190" s="61"/>
      <c r="P190" s="61"/>
      <c r="Q190" s="61"/>
      <c r="R190" s="61"/>
      <c r="S190" s="61"/>
    </row>
    <row r="191" spans="3:19" ht="12.75">
      <c r="C191" s="66"/>
      <c r="D191" s="66"/>
      <c r="F191" s="61"/>
      <c r="G191" s="61"/>
      <c r="H191" s="61"/>
      <c r="I191" s="61"/>
      <c r="J191" s="61"/>
      <c r="K191" s="61"/>
      <c r="L191" s="61"/>
      <c r="M191" s="67"/>
      <c r="N191" s="67"/>
      <c r="O191" s="61"/>
      <c r="P191" s="61"/>
      <c r="Q191" s="61"/>
      <c r="R191" s="61"/>
      <c r="S191" s="61"/>
    </row>
    <row r="192" spans="3:19" ht="12.75">
      <c r="C192" s="66"/>
      <c r="D192" s="66"/>
      <c r="F192" s="61"/>
      <c r="G192" s="61"/>
      <c r="H192" s="61"/>
      <c r="I192" s="61"/>
      <c r="J192" s="61"/>
      <c r="K192" s="61"/>
      <c r="L192" s="61"/>
      <c r="M192" s="67"/>
      <c r="N192" s="67"/>
      <c r="O192" s="61"/>
      <c r="P192" s="61"/>
      <c r="Q192" s="61"/>
      <c r="R192" s="61"/>
      <c r="S192" s="61"/>
    </row>
    <row r="193" spans="3:19" ht="12.75">
      <c r="C193" s="66"/>
      <c r="D193" s="66"/>
      <c r="F193" s="61"/>
      <c r="G193" s="61"/>
      <c r="H193" s="61"/>
      <c r="I193" s="61"/>
      <c r="J193" s="61"/>
      <c r="K193" s="61"/>
      <c r="L193" s="61"/>
      <c r="M193" s="67"/>
      <c r="N193" s="67"/>
      <c r="O193" s="61"/>
      <c r="P193" s="61"/>
      <c r="Q193" s="61"/>
      <c r="R193" s="61"/>
      <c r="S193" s="61"/>
    </row>
    <row r="194" spans="3:19" ht="12.75">
      <c r="C194" s="66"/>
      <c r="D194" s="66"/>
      <c r="F194" s="61"/>
      <c r="G194" s="61"/>
      <c r="H194" s="61"/>
      <c r="I194" s="61"/>
      <c r="J194" s="61"/>
      <c r="K194" s="61"/>
      <c r="L194" s="61"/>
      <c r="M194" s="67"/>
      <c r="N194" s="67"/>
      <c r="O194" s="61"/>
      <c r="P194" s="61"/>
      <c r="Q194" s="61"/>
      <c r="R194" s="61"/>
      <c r="S194" s="61"/>
    </row>
    <row r="195" spans="3:19" ht="12.75">
      <c r="C195" s="66"/>
      <c r="D195" s="66"/>
      <c r="F195" s="61"/>
      <c r="G195" s="61"/>
      <c r="H195" s="61"/>
      <c r="I195" s="61"/>
      <c r="J195" s="61"/>
      <c r="K195" s="61"/>
      <c r="L195" s="61"/>
      <c r="M195" s="67"/>
      <c r="N195" s="67"/>
      <c r="O195" s="61"/>
      <c r="P195" s="61"/>
      <c r="Q195" s="61"/>
      <c r="R195" s="61"/>
      <c r="S195" s="61"/>
    </row>
    <row r="196" spans="3:19" ht="12.75">
      <c r="C196" s="66"/>
      <c r="D196" s="66"/>
      <c r="F196" s="61"/>
      <c r="G196" s="61"/>
      <c r="H196" s="61"/>
      <c r="I196" s="61"/>
      <c r="J196" s="61"/>
      <c r="K196" s="61"/>
      <c r="L196" s="61"/>
      <c r="M196" s="67"/>
      <c r="N196" s="67"/>
      <c r="O196" s="61"/>
      <c r="P196" s="61"/>
      <c r="Q196" s="61"/>
      <c r="R196" s="61"/>
      <c r="S196" s="61"/>
    </row>
    <row r="197" spans="3:19" ht="12.75">
      <c r="C197" s="66"/>
      <c r="D197" s="66"/>
      <c r="F197" s="61"/>
      <c r="G197" s="61"/>
      <c r="H197" s="61"/>
      <c r="I197" s="61"/>
      <c r="J197" s="61"/>
      <c r="K197" s="61"/>
      <c r="L197" s="61"/>
      <c r="M197" s="67"/>
      <c r="N197" s="67"/>
      <c r="O197" s="61"/>
      <c r="P197" s="61"/>
      <c r="Q197" s="61"/>
      <c r="R197" s="61"/>
      <c r="S197" s="61"/>
    </row>
    <row r="198" spans="3:19" ht="12.75">
      <c r="C198" s="66"/>
      <c r="D198" s="66"/>
      <c r="F198" s="61"/>
      <c r="G198" s="61"/>
      <c r="H198" s="61"/>
      <c r="I198" s="61"/>
      <c r="J198" s="61"/>
      <c r="K198" s="61"/>
      <c r="L198" s="61"/>
      <c r="M198" s="67"/>
      <c r="N198" s="67"/>
      <c r="O198" s="61"/>
      <c r="P198" s="61"/>
      <c r="Q198" s="61"/>
      <c r="R198" s="61"/>
      <c r="S198" s="61"/>
    </row>
    <row r="199" spans="3:19" ht="12.75">
      <c r="C199" s="66"/>
      <c r="D199" s="66"/>
      <c r="F199" s="61"/>
      <c r="G199" s="61"/>
      <c r="H199" s="61"/>
      <c r="I199" s="61"/>
      <c r="J199" s="61"/>
      <c r="K199" s="61"/>
      <c r="L199" s="61"/>
      <c r="M199" s="67"/>
      <c r="N199" s="67"/>
      <c r="O199" s="61"/>
      <c r="P199" s="61"/>
      <c r="Q199" s="61"/>
      <c r="R199" s="61"/>
      <c r="S199" s="61"/>
    </row>
    <row r="200" spans="3:19" ht="12.75">
      <c r="C200" s="66"/>
      <c r="D200" s="66"/>
      <c r="F200" s="61"/>
      <c r="G200" s="61"/>
      <c r="H200" s="61"/>
      <c r="I200" s="61"/>
      <c r="J200" s="61"/>
      <c r="K200" s="61"/>
      <c r="L200" s="61"/>
      <c r="M200" s="67"/>
      <c r="N200" s="67"/>
      <c r="O200" s="61"/>
      <c r="P200" s="61"/>
      <c r="Q200" s="61"/>
      <c r="R200" s="61"/>
      <c r="S200" s="61"/>
    </row>
    <row r="201" spans="3:19" ht="12.75">
      <c r="C201" s="66"/>
      <c r="D201" s="66"/>
      <c r="F201" s="61"/>
      <c r="G201" s="61"/>
      <c r="H201" s="61"/>
      <c r="I201" s="61"/>
      <c r="J201" s="61"/>
      <c r="K201" s="61"/>
      <c r="L201" s="61"/>
      <c r="M201" s="67"/>
      <c r="N201" s="67"/>
      <c r="O201" s="61"/>
      <c r="P201" s="61"/>
      <c r="Q201" s="61"/>
      <c r="R201" s="61"/>
      <c r="S201" s="61"/>
    </row>
    <row r="202" spans="3:19" ht="12.75">
      <c r="C202" s="66"/>
      <c r="D202" s="66"/>
      <c r="F202" s="61"/>
      <c r="G202" s="61"/>
      <c r="H202" s="61"/>
      <c r="I202" s="61"/>
      <c r="J202" s="61"/>
      <c r="K202" s="61"/>
      <c r="L202" s="61"/>
      <c r="M202" s="67"/>
      <c r="N202" s="67"/>
      <c r="O202" s="61"/>
      <c r="P202" s="61"/>
      <c r="Q202" s="61"/>
      <c r="R202" s="61"/>
      <c r="S202" s="61"/>
    </row>
    <row r="203" spans="3:19" ht="12.75">
      <c r="C203" s="66"/>
      <c r="D203" s="66"/>
      <c r="F203" s="61"/>
      <c r="G203" s="61"/>
      <c r="H203" s="61"/>
      <c r="I203" s="61"/>
      <c r="J203" s="61"/>
      <c r="K203" s="61"/>
      <c r="L203" s="61"/>
      <c r="M203" s="67"/>
      <c r="N203" s="67"/>
      <c r="O203" s="61"/>
      <c r="P203" s="61"/>
      <c r="Q203" s="61"/>
      <c r="R203" s="61"/>
      <c r="S203" s="61"/>
    </row>
    <row r="204" spans="3:19" ht="12.75">
      <c r="C204" s="66"/>
      <c r="D204" s="66"/>
      <c r="F204" s="61"/>
      <c r="G204" s="61"/>
      <c r="H204" s="61"/>
      <c r="I204" s="61"/>
      <c r="J204" s="61"/>
      <c r="K204" s="61"/>
      <c r="L204" s="61"/>
      <c r="M204" s="67"/>
      <c r="N204" s="67"/>
      <c r="O204" s="61"/>
      <c r="P204" s="61"/>
      <c r="Q204" s="61"/>
      <c r="R204" s="61"/>
      <c r="S204" s="61"/>
    </row>
    <row r="205" spans="3:19" ht="12.75">
      <c r="C205" s="66"/>
      <c r="D205" s="66"/>
      <c r="F205" s="61"/>
      <c r="G205" s="61"/>
      <c r="H205" s="61"/>
      <c r="I205" s="61"/>
      <c r="J205" s="61"/>
      <c r="K205" s="61"/>
      <c r="L205" s="61"/>
      <c r="M205" s="67"/>
      <c r="N205" s="67"/>
      <c r="O205" s="61"/>
      <c r="P205" s="61"/>
      <c r="Q205" s="61"/>
      <c r="R205" s="61"/>
      <c r="S205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S205"/>
  <sheetViews>
    <sheetView workbookViewId="0" topLeftCell="A1">
      <selection activeCell="F5" sqref="F5:G24"/>
    </sheetView>
  </sheetViews>
  <sheetFormatPr defaultColWidth="9.140625" defaultRowHeight="12.75"/>
  <cols>
    <col min="5" max="5" width="8.140625" style="0" customWidth="1"/>
    <col min="8" max="8" width="11.00390625" style="0" bestFit="1" customWidth="1"/>
    <col min="12" max="12" width="5.28125" style="0" customWidth="1"/>
    <col min="13" max="14" width="9.421875" style="54" bestFit="1" customWidth="1"/>
  </cols>
  <sheetData>
    <row r="1" spans="1:9" ht="12.75">
      <c r="A1" s="19"/>
      <c r="E1" s="54" t="s">
        <v>162</v>
      </c>
      <c r="F1" s="54"/>
      <c r="H1" s="54"/>
      <c r="I1" s="54"/>
    </row>
    <row r="2" spans="1:9" ht="12.75">
      <c r="A2" s="19"/>
      <c r="B2" s="24" t="s">
        <v>163</v>
      </c>
      <c r="C2" s="24"/>
      <c r="D2" s="24"/>
      <c r="E2" s="83">
        <v>33</v>
      </c>
      <c r="F2" s="55"/>
      <c r="H2" s="54"/>
      <c r="I2" s="55"/>
    </row>
    <row r="3" spans="2:14" ht="13.5" thickBot="1">
      <c r="B3" s="24" t="s">
        <v>164</v>
      </c>
      <c r="D3" s="24"/>
      <c r="F3" s="56" t="s">
        <v>176</v>
      </c>
      <c r="H3" s="57" t="s">
        <v>30</v>
      </c>
      <c r="J3" s="56" t="s">
        <v>26</v>
      </c>
      <c r="M3" s="62"/>
      <c r="N3" s="62"/>
    </row>
    <row r="4" spans="1:14" ht="12.75">
      <c r="A4" s="59" t="s">
        <v>178</v>
      </c>
      <c r="B4" s="59"/>
      <c r="C4" s="38" t="s">
        <v>21</v>
      </c>
      <c r="D4" s="38" t="s">
        <v>22</v>
      </c>
      <c r="F4" s="59" t="s">
        <v>24</v>
      </c>
      <c r="G4" s="59" t="s">
        <v>25</v>
      </c>
      <c r="H4" s="38" t="s">
        <v>21</v>
      </c>
      <c r="I4" s="38" t="s">
        <v>22</v>
      </c>
      <c r="J4" s="38" t="s">
        <v>21</v>
      </c>
      <c r="K4" s="38" t="s">
        <v>22</v>
      </c>
      <c r="L4" s="42"/>
      <c r="M4" s="62"/>
      <c r="N4" s="62"/>
    </row>
    <row r="5" spans="3:19" ht="12.75">
      <c r="C5" s="61">
        <v>344462.1914351103</v>
      </c>
      <c r="D5" s="61">
        <v>5434406.9770900505</v>
      </c>
      <c r="F5" s="61">
        <v>49.042900002319584</v>
      </c>
      <c r="G5" s="61">
        <v>12.87160000057148</v>
      </c>
      <c r="H5" s="61">
        <v>870723.569987662</v>
      </c>
      <c r="I5" s="61">
        <v>1141510.7628909564</v>
      </c>
      <c r="J5" s="61">
        <v>3344522.405558854</v>
      </c>
      <c r="K5" s="61">
        <v>5436720.303249958</v>
      </c>
      <c r="L5" s="61"/>
      <c r="M5" s="62"/>
      <c r="N5" s="62"/>
      <c r="O5" s="61"/>
      <c r="P5" s="61"/>
      <c r="Q5" s="61"/>
      <c r="R5" s="61"/>
      <c r="S5" s="61"/>
    </row>
    <row r="6" spans="3:19" ht="12.75">
      <c r="C6" s="61">
        <v>394532.8862723264</v>
      </c>
      <c r="D6" s="61">
        <v>5432071.515928634</v>
      </c>
      <c r="F6" s="61">
        <v>49.032500002310215</v>
      </c>
      <c r="G6" s="61">
        <v>13.557100000065017</v>
      </c>
      <c r="H6" s="61">
        <v>821357.3166516563</v>
      </c>
      <c r="I6" s="61">
        <v>1150282.4450416558</v>
      </c>
      <c r="J6" s="61">
        <v>3394613.5075879954</v>
      </c>
      <c r="K6" s="61">
        <v>5434383.883381872</v>
      </c>
      <c r="L6" s="61"/>
      <c r="M6" s="62"/>
      <c r="N6" s="62"/>
      <c r="O6" s="61"/>
      <c r="P6" s="63"/>
      <c r="Q6" s="63"/>
      <c r="R6" s="63"/>
      <c r="S6" s="64"/>
    </row>
    <row r="7" spans="3:19" ht="12.75">
      <c r="C7" s="61">
        <v>444600.1064397284</v>
      </c>
      <c r="D7" s="61">
        <v>5429733.303031622</v>
      </c>
      <c r="F7" s="61">
        <v>49.01800000230594</v>
      </c>
      <c r="G7" s="61">
        <v>14.242299999971145</v>
      </c>
      <c r="H7" s="61">
        <v>771990.3343136472</v>
      </c>
      <c r="I7" s="61">
        <v>1159051.2490027845</v>
      </c>
      <c r="J7" s="61">
        <v>3444701.1338924807</v>
      </c>
      <c r="K7" s="61">
        <v>5432044.7133285515</v>
      </c>
      <c r="L7" s="61"/>
      <c r="M7" s="62"/>
      <c r="N7" s="62"/>
      <c r="O7" s="61"/>
      <c r="P7" s="63"/>
      <c r="Q7" s="63"/>
      <c r="R7" s="64"/>
      <c r="S7" s="61"/>
    </row>
    <row r="8" spans="1:19" ht="12.75">
      <c r="A8" s="24" t="s">
        <v>166</v>
      </c>
      <c r="B8" s="24"/>
      <c r="C8" s="61">
        <v>494660.5317654016</v>
      </c>
      <c r="D8" s="61">
        <v>5427391.649529678</v>
      </c>
      <c r="F8" s="61">
        <v>48.99940000230111</v>
      </c>
      <c r="G8" s="61">
        <v>14.92699999999664</v>
      </c>
      <c r="H8" s="61">
        <v>722628.5282983601</v>
      </c>
      <c r="I8" s="61">
        <v>1167817.8523277952</v>
      </c>
      <c r="J8" s="61">
        <v>3494781.9628954716</v>
      </c>
      <c r="K8" s="61">
        <v>5429702.103944839</v>
      </c>
      <c r="L8" s="61"/>
      <c r="M8" s="62"/>
      <c r="N8" s="62"/>
      <c r="O8" s="61"/>
      <c r="P8" s="63"/>
      <c r="Q8" s="63"/>
      <c r="R8" s="64"/>
      <c r="S8" s="61"/>
    </row>
    <row r="9" spans="1:19" ht="12.75">
      <c r="A9" s="24" t="s">
        <v>167</v>
      </c>
      <c r="B9" s="24"/>
      <c r="C9" s="61">
        <v>543795.6064764439</v>
      </c>
      <c r="D9" s="61">
        <v>5538809.620317526</v>
      </c>
      <c r="F9" s="61">
        <v>50.00000000257792</v>
      </c>
      <c r="G9" s="61">
        <v>15.611100000030712</v>
      </c>
      <c r="H9" s="61">
        <v>659549.1052536425</v>
      </c>
      <c r="I9" s="61">
        <v>1063613.0757195954</v>
      </c>
      <c r="J9" s="61">
        <v>3543937.059236838</v>
      </c>
      <c r="K9" s="61">
        <v>5541165.473549908</v>
      </c>
      <c r="L9" s="61"/>
      <c r="M9" s="62"/>
      <c r="N9" s="62"/>
      <c r="O9" s="61"/>
      <c r="P9" s="63"/>
      <c r="Q9" s="63"/>
      <c r="R9" s="64"/>
      <c r="S9" s="61"/>
    </row>
    <row r="10" spans="3:19" ht="12.75">
      <c r="C10" s="61">
        <v>594784.5286013873</v>
      </c>
      <c r="D10" s="61">
        <v>5422671.806499351</v>
      </c>
      <c r="F10" s="61">
        <v>48.949700002287464</v>
      </c>
      <c r="G10" s="61">
        <v>16.29459999997844</v>
      </c>
      <c r="H10" s="61">
        <v>623910.9760801229</v>
      </c>
      <c r="I10" s="61">
        <v>1185374.9263538448</v>
      </c>
      <c r="J10" s="61">
        <v>3594946.7691481397</v>
      </c>
      <c r="K10" s="61">
        <v>5424980.342311621</v>
      </c>
      <c r="L10" s="61"/>
      <c r="M10" s="62"/>
      <c r="N10" s="62"/>
      <c r="O10" s="61"/>
      <c r="P10" s="63"/>
      <c r="Q10" s="63"/>
      <c r="R10" s="64"/>
      <c r="S10" s="61"/>
    </row>
    <row r="11" spans="3:19" ht="12.75">
      <c r="C11" s="61">
        <v>644848.7418974609</v>
      </c>
      <c r="D11" s="61">
        <v>5420302.352983347</v>
      </c>
      <c r="F11" s="61">
        <v>48.91870000228352</v>
      </c>
      <c r="G11" s="61">
        <v>16.97719999957393</v>
      </c>
      <c r="H11" s="61">
        <v>574558.9218719165</v>
      </c>
      <c r="I11" s="61">
        <v>1194157.3692036862</v>
      </c>
      <c r="J11" s="61">
        <v>3645031.388359653</v>
      </c>
      <c r="K11" s="61">
        <v>5422609.929645814</v>
      </c>
      <c r="L11" s="61"/>
      <c r="M11" s="62"/>
      <c r="N11" s="62"/>
      <c r="O11" s="61"/>
      <c r="P11" s="61"/>
      <c r="Q11" s="61"/>
      <c r="R11" s="61"/>
      <c r="S11" s="61"/>
    </row>
    <row r="12" spans="3:19" ht="12.75">
      <c r="C12" s="61">
        <v>694922.0526897295</v>
      </c>
      <c r="D12" s="61">
        <v>5417924.811984407</v>
      </c>
      <c r="F12" s="61">
        <v>48.883600002293015</v>
      </c>
      <c r="G12" s="61">
        <v>17.658899998818175</v>
      </c>
      <c r="H12" s="61">
        <v>525207.7754290688</v>
      </c>
      <c r="I12" s="61">
        <v>1202945.3559267886</v>
      </c>
      <c r="J12" s="61">
        <v>3695125.1089323293</v>
      </c>
      <c r="K12" s="61">
        <v>5420231.428901946</v>
      </c>
      <c r="L12" s="61"/>
      <c r="M12" s="62"/>
      <c r="N12" s="62"/>
      <c r="O12" s="61"/>
      <c r="P12" s="61"/>
      <c r="Q12" s="61"/>
      <c r="R12" s="61"/>
      <c r="S12" s="61"/>
    </row>
    <row r="13" spans="3:19" ht="12.75">
      <c r="C13" s="61">
        <v>304807.79317533516</v>
      </c>
      <c r="D13" s="61">
        <v>5413560.85576718</v>
      </c>
      <c r="F13" s="61">
        <v>48.844300002282765</v>
      </c>
      <c r="G13" s="61">
        <v>12.339500001196694</v>
      </c>
      <c r="H13" s="61">
        <v>912745.48715177</v>
      </c>
      <c r="I13" s="61">
        <v>1157069.4630697344</v>
      </c>
      <c r="J13" s="61">
        <v>3304851.8410899467</v>
      </c>
      <c r="K13" s="61">
        <v>5415865.694356531</v>
      </c>
      <c r="L13" s="61"/>
      <c r="M13" s="62"/>
      <c r="N13" s="62"/>
      <c r="O13" s="61"/>
      <c r="P13" s="61"/>
      <c r="Q13" s="61"/>
      <c r="R13" s="61"/>
      <c r="S13" s="61"/>
    </row>
    <row r="14" spans="3:19" ht="12.75">
      <c r="C14" s="61">
        <v>346796.20194378996</v>
      </c>
      <c r="D14" s="61">
        <v>5484346.887618278</v>
      </c>
      <c r="F14" s="61">
        <v>49.49240000244181</v>
      </c>
      <c r="G14" s="61">
        <v>12.88440000050693</v>
      </c>
      <c r="H14" s="61">
        <v>861971.0165497358</v>
      </c>
      <c r="I14" s="61">
        <v>1092279.5252396904</v>
      </c>
      <c r="J14" s="61">
        <v>3346857.3752796603</v>
      </c>
      <c r="K14" s="61">
        <v>5486680.562721512</v>
      </c>
      <c r="L14" s="61"/>
      <c r="M14" s="62"/>
      <c r="N14" s="62"/>
      <c r="O14" s="61"/>
      <c r="P14" s="61"/>
      <c r="Q14" s="61"/>
      <c r="R14" s="61"/>
      <c r="S14" s="61"/>
    </row>
    <row r="15" spans="3:19" ht="12.75">
      <c r="C15" s="61">
        <v>396876.95225418033</v>
      </c>
      <c r="D15" s="61">
        <v>5482002.637117619</v>
      </c>
      <c r="F15" s="61">
        <v>49.48190000243335</v>
      </c>
      <c r="G15" s="61">
        <v>13.576300000047782</v>
      </c>
      <c r="H15" s="61">
        <v>812600.071920616</v>
      </c>
      <c r="I15" s="61">
        <v>1101055.229900203</v>
      </c>
      <c r="J15" s="61">
        <v>3396958.53429999</v>
      </c>
      <c r="K15" s="61">
        <v>5484335.350252324</v>
      </c>
      <c r="L15" s="61"/>
      <c r="M15" s="62"/>
      <c r="N15" s="62"/>
      <c r="O15" s="61"/>
      <c r="P15" s="61"/>
      <c r="Q15" s="61"/>
      <c r="R15" s="61"/>
      <c r="S15" s="61"/>
    </row>
    <row r="16" spans="3:19" ht="12.75">
      <c r="C16" s="61">
        <v>446948.07323707495</v>
      </c>
      <c r="D16" s="61">
        <v>5479663.0635354</v>
      </c>
      <c r="F16" s="61">
        <v>49.46730000242915</v>
      </c>
      <c r="G16" s="61">
        <v>14.267799999968798</v>
      </c>
      <c r="H16" s="61">
        <v>763233.0622016519</v>
      </c>
      <c r="I16" s="61">
        <v>1109822.3873411475</v>
      </c>
      <c r="J16" s="61">
        <v>3447050.0604243595</v>
      </c>
      <c r="K16" s="61">
        <v>5481994.819250167</v>
      </c>
      <c r="L16" s="61"/>
      <c r="M16" s="62"/>
      <c r="N16" s="62"/>
      <c r="O16" s="61"/>
      <c r="P16" s="61"/>
      <c r="Q16" s="61"/>
      <c r="R16" s="61"/>
      <c r="S16" s="61"/>
    </row>
    <row r="17" spans="3:19" ht="12.75">
      <c r="C17" s="61">
        <v>497020.92661341757</v>
      </c>
      <c r="D17" s="61">
        <v>5477316.156376055</v>
      </c>
      <c r="F17" s="61">
        <v>49.448500002424176</v>
      </c>
      <c r="G17" s="61">
        <v>14.958899999997975</v>
      </c>
      <c r="H17" s="61">
        <v>713862.829285244</v>
      </c>
      <c r="I17" s="61">
        <v>1118594.8844513746</v>
      </c>
      <c r="J17" s="61">
        <v>3497143.319952637</v>
      </c>
      <c r="K17" s="61">
        <v>5479646.954329647</v>
      </c>
      <c r="L17" s="61"/>
      <c r="M17" s="62"/>
      <c r="N17" s="62"/>
      <c r="O17" s="61"/>
      <c r="P17" s="61"/>
      <c r="Q17" s="61"/>
      <c r="R17" s="61"/>
      <c r="S17" s="61"/>
    </row>
    <row r="18" spans="3:19" ht="12.75">
      <c r="C18" s="61">
        <v>547085.4211118456</v>
      </c>
      <c r="D18" s="61">
        <v>5474961.001001368</v>
      </c>
      <c r="F18" s="61">
        <v>49.42550000241762</v>
      </c>
      <c r="G18" s="61">
        <v>15.649300000029124</v>
      </c>
      <c r="H18" s="61">
        <v>664502.160918752</v>
      </c>
      <c r="I18" s="61">
        <v>1127372.7921114925</v>
      </c>
      <c r="J18" s="61">
        <v>3547228.2174635883</v>
      </c>
      <c r="K18" s="61">
        <v>5477290.840485046</v>
      </c>
      <c r="L18" s="61"/>
      <c r="M18" s="62"/>
      <c r="N18" s="62"/>
      <c r="O18" s="61"/>
      <c r="P18" s="61"/>
      <c r="Q18" s="61"/>
      <c r="R18" s="61"/>
      <c r="S18" s="61"/>
    </row>
    <row r="19" spans="3:19" ht="12.75">
      <c r="C19" s="61">
        <v>597160.4338203436</v>
      </c>
      <c r="D19" s="61">
        <v>5472596.566934778</v>
      </c>
      <c r="F19" s="61">
        <v>49.39830000241012</v>
      </c>
      <c r="G19" s="61">
        <v>16.339099999975282</v>
      </c>
      <c r="H19" s="61">
        <v>615135.2176818317</v>
      </c>
      <c r="I19" s="61">
        <v>1136159.9607761533</v>
      </c>
      <c r="J19" s="61">
        <v>3597323.6377024218</v>
      </c>
      <c r="K19" s="61">
        <v>5474925.446825995</v>
      </c>
      <c r="L19" s="61"/>
      <c r="M19" s="62"/>
      <c r="N19" s="62"/>
      <c r="O19" s="61"/>
      <c r="P19" s="61"/>
      <c r="Q19" s="61"/>
      <c r="R19" s="61"/>
      <c r="S19" s="61"/>
    </row>
    <row r="20" spans="3:19" ht="12.75">
      <c r="C20" s="61">
        <v>647235.5070176948</v>
      </c>
      <c r="D20" s="61">
        <v>5470232.588750375</v>
      </c>
      <c r="F20" s="61">
        <v>49.36700000240606</v>
      </c>
      <c r="G20" s="61">
        <v>17.027999999564393</v>
      </c>
      <c r="H20" s="61">
        <v>565773.9663609501</v>
      </c>
      <c r="I20" s="61">
        <v>1144945.7142367037</v>
      </c>
      <c r="J20" s="61">
        <v>3647419.118635261</v>
      </c>
      <c r="K20" s="61">
        <v>5472560.511898558</v>
      </c>
      <c r="L20" s="61"/>
      <c r="M20" s="62"/>
      <c r="N20" s="62"/>
      <c r="O20" s="61"/>
      <c r="P20" s="61"/>
      <c r="Q20" s="61"/>
      <c r="R20" s="61"/>
      <c r="S20" s="61"/>
    </row>
    <row r="21" spans="3:19" ht="12.75">
      <c r="C21" s="61">
        <v>697322.30529899</v>
      </c>
      <c r="D21" s="61">
        <v>5467856.717158707</v>
      </c>
      <c r="F21" s="61">
        <v>49.3315000024139</v>
      </c>
      <c r="G21" s="61">
        <v>17.715999998952224</v>
      </c>
      <c r="H21" s="61">
        <v>516411.35842143756</v>
      </c>
      <c r="I21" s="61">
        <v>1153744.038168894</v>
      </c>
      <c r="J21" s="61">
        <v>3697526.3295936207</v>
      </c>
      <c r="K21" s="61">
        <v>5470183.681390273</v>
      </c>
      <c r="L21" s="61"/>
      <c r="M21" s="62"/>
      <c r="N21" s="62"/>
      <c r="O21" s="61"/>
      <c r="P21" s="61"/>
      <c r="Q21" s="61"/>
      <c r="R21" s="61"/>
      <c r="S21" s="61"/>
    </row>
    <row r="22" spans="3:19" ht="12.75">
      <c r="C22" s="61">
        <v>311163.6921513012</v>
      </c>
      <c r="D22" s="61">
        <v>5463151.03140104</v>
      </c>
      <c r="F22" s="61">
        <v>49.2919000023992</v>
      </c>
      <c r="G22" s="61">
        <v>12.402900001004854</v>
      </c>
      <c r="H22" s="61">
        <v>900041.9006961066</v>
      </c>
      <c r="I22" s="61">
        <v>1108707.624397526</v>
      </c>
      <c r="J22" s="61">
        <v>3311210.340432013</v>
      </c>
      <c r="K22" s="61">
        <v>5465476.076484961</v>
      </c>
      <c r="L22" s="61"/>
      <c r="M22" s="62"/>
      <c r="N22" s="62"/>
      <c r="O22" s="61"/>
      <c r="P22" s="61"/>
      <c r="Q22" s="61"/>
      <c r="R22" s="61"/>
      <c r="S22" s="61"/>
    </row>
    <row r="23" spans="3:19" ht="12.75">
      <c r="C23" s="61">
        <v>349137.06934607704</v>
      </c>
      <c r="D23" s="61">
        <v>5534290.05453276</v>
      </c>
      <c r="F23" s="61">
        <v>49.94190000256618</v>
      </c>
      <c r="G23" s="61">
        <v>12.897400000445629</v>
      </c>
      <c r="H23" s="61">
        <v>853218.7022833984</v>
      </c>
      <c r="I23" s="61">
        <v>1043049.1325291881</v>
      </c>
      <c r="J23" s="61">
        <v>3349199.204356105</v>
      </c>
      <c r="K23" s="61">
        <v>5536644.077405858</v>
      </c>
      <c r="L23" s="61"/>
      <c r="M23" s="62"/>
      <c r="N23" s="62"/>
      <c r="O23" s="61"/>
      <c r="P23" s="61"/>
      <c r="Q23" s="61"/>
      <c r="R23" s="61"/>
      <c r="S23" s="61"/>
    </row>
    <row r="24" spans="3:19" ht="12.75">
      <c r="C24" s="61">
        <v>399223.6876595596</v>
      </c>
      <c r="D24" s="61">
        <v>5531948.617608938</v>
      </c>
      <c r="F24" s="61">
        <v>49.931400002558576</v>
      </c>
      <c r="G24" s="61">
        <v>13.595800000031602</v>
      </c>
      <c r="H24" s="61">
        <v>803843.2695200843</v>
      </c>
      <c r="I24" s="61">
        <v>1051816.264752953</v>
      </c>
      <c r="J24" s="61">
        <v>3399306.2312211744</v>
      </c>
      <c r="K24" s="61">
        <v>5534301.679976565</v>
      </c>
      <c r="L24" s="61"/>
      <c r="M24" s="62"/>
      <c r="N24" s="62"/>
      <c r="O24" s="61"/>
      <c r="P24" s="61"/>
      <c r="Q24" s="61"/>
      <c r="R24" s="61"/>
      <c r="S24" s="61"/>
    </row>
    <row r="25" spans="3:19" ht="12.75">
      <c r="C25" s="61"/>
      <c r="D25" s="61"/>
      <c r="F25" s="61"/>
      <c r="G25" s="61"/>
      <c r="H25" s="61"/>
      <c r="I25" s="61"/>
      <c r="J25" s="61"/>
      <c r="K25" s="61"/>
      <c r="L25" s="61"/>
      <c r="M25" s="62"/>
      <c r="N25" s="62"/>
      <c r="O25" s="61"/>
      <c r="P25" s="61"/>
      <c r="Q25" s="61"/>
      <c r="R25" s="61"/>
      <c r="S25" s="61"/>
    </row>
    <row r="26" spans="3:19" ht="12.75">
      <c r="C26" s="61"/>
      <c r="D26" s="61"/>
      <c r="F26" s="61"/>
      <c r="G26" s="61"/>
      <c r="H26" s="61"/>
      <c r="I26" s="61"/>
      <c r="J26" s="61"/>
      <c r="K26" s="61"/>
      <c r="L26" s="61"/>
      <c r="M26" s="62"/>
      <c r="N26" s="62"/>
      <c r="O26" s="61"/>
      <c r="P26" s="61"/>
      <c r="Q26" s="61"/>
      <c r="R26" s="61"/>
      <c r="S26" s="61"/>
    </row>
    <row r="27" spans="3:19" ht="12.75">
      <c r="C27" s="61"/>
      <c r="D27" s="61"/>
      <c r="F27" s="61"/>
      <c r="G27" s="61"/>
      <c r="H27" s="61"/>
      <c r="I27" s="61"/>
      <c r="J27" s="61"/>
      <c r="K27" s="61"/>
      <c r="L27" s="61"/>
      <c r="M27" s="62"/>
      <c r="N27" s="62"/>
      <c r="O27" s="61"/>
      <c r="P27" s="61"/>
      <c r="Q27" s="61"/>
      <c r="R27" s="61"/>
      <c r="S27" s="61"/>
    </row>
    <row r="28" spans="3:19" ht="12.75">
      <c r="C28" s="61"/>
      <c r="D28" s="61"/>
      <c r="F28" s="61"/>
      <c r="G28" s="61"/>
      <c r="H28" s="61"/>
      <c r="I28" s="61"/>
      <c r="J28" s="61"/>
      <c r="K28" s="61"/>
      <c r="L28" s="61"/>
      <c r="M28" s="62"/>
      <c r="N28" s="62"/>
      <c r="O28" s="61"/>
      <c r="P28" s="61"/>
      <c r="Q28" s="61"/>
      <c r="R28" s="61"/>
      <c r="S28" s="61"/>
    </row>
    <row r="29" spans="3:19" ht="12.75">
      <c r="C29" s="61"/>
      <c r="D29" s="61"/>
      <c r="F29" s="61"/>
      <c r="G29" s="61"/>
      <c r="H29" s="61"/>
      <c r="I29" s="61"/>
      <c r="J29" s="61"/>
      <c r="K29" s="61"/>
      <c r="L29" s="61"/>
      <c r="M29" s="62"/>
      <c r="N29" s="62"/>
      <c r="O29" s="61"/>
      <c r="P29" s="61"/>
      <c r="Q29" s="61"/>
      <c r="R29" s="61"/>
      <c r="S29" s="61"/>
    </row>
    <row r="30" spans="3:19" ht="12.75">
      <c r="C30" s="61"/>
      <c r="D30" s="61"/>
      <c r="F30" s="61"/>
      <c r="G30" s="61"/>
      <c r="H30" s="61"/>
      <c r="I30" s="61"/>
      <c r="J30" s="61"/>
      <c r="K30" s="61"/>
      <c r="L30" s="61"/>
      <c r="M30" s="62"/>
      <c r="N30" s="62"/>
      <c r="O30" s="61"/>
      <c r="P30" s="61"/>
      <c r="Q30" s="61"/>
      <c r="R30" s="61"/>
      <c r="S30" s="61"/>
    </row>
    <row r="31" spans="3:19" ht="12.75">
      <c r="C31" s="61"/>
      <c r="D31" s="61"/>
      <c r="F31" s="61"/>
      <c r="G31" s="61"/>
      <c r="H31" s="61"/>
      <c r="I31" s="61"/>
      <c r="J31" s="61"/>
      <c r="K31" s="61"/>
      <c r="L31" s="61"/>
      <c r="M31" s="62"/>
      <c r="N31" s="62"/>
      <c r="O31" s="61"/>
      <c r="P31" s="61"/>
      <c r="Q31" s="61"/>
      <c r="R31" s="61"/>
      <c r="S31" s="61"/>
    </row>
    <row r="32" spans="3:19" ht="12.75">
      <c r="C32" s="61"/>
      <c r="D32" s="61"/>
      <c r="F32" s="61"/>
      <c r="G32" s="61"/>
      <c r="H32" s="61"/>
      <c r="I32" s="61"/>
      <c r="J32" s="61"/>
      <c r="K32" s="61"/>
      <c r="L32" s="61"/>
      <c r="M32" s="62"/>
      <c r="N32" s="62"/>
      <c r="O32" s="61"/>
      <c r="P32" s="61"/>
      <c r="Q32" s="61"/>
      <c r="R32" s="61"/>
      <c r="S32" s="61"/>
    </row>
    <row r="33" spans="3:19" ht="12.75">
      <c r="C33" s="61"/>
      <c r="D33" s="61"/>
      <c r="F33" s="61"/>
      <c r="G33" s="61"/>
      <c r="H33" s="61"/>
      <c r="I33" s="61"/>
      <c r="J33" s="61"/>
      <c r="K33" s="61"/>
      <c r="L33" s="61"/>
      <c r="M33" s="62"/>
      <c r="N33" s="62"/>
      <c r="O33" s="61"/>
      <c r="P33" s="61"/>
      <c r="Q33" s="61"/>
      <c r="R33" s="61"/>
      <c r="S33" s="61"/>
    </row>
    <row r="34" spans="3:19" ht="12.75">
      <c r="C34" s="61"/>
      <c r="D34" s="61"/>
      <c r="F34" s="61"/>
      <c r="G34" s="61"/>
      <c r="H34" s="61"/>
      <c r="I34" s="61"/>
      <c r="J34" s="61"/>
      <c r="K34" s="61"/>
      <c r="L34" s="61"/>
      <c r="M34" s="62"/>
      <c r="N34" s="62"/>
      <c r="O34" s="61"/>
      <c r="P34" s="61"/>
      <c r="Q34" s="61"/>
      <c r="R34" s="61"/>
      <c r="S34" s="61"/>
    </row>
    <row r="35" spans="3:19" ht="12.75">
      <c r="C35" s="61"/>
      <c r="D35" s="61"/>
      <c r="F35" s="61"/>
      <c r="G35" s="61"/>
      <c r="H35" s="61"/>
      <c r="I35" s="61"/>
      <c r="J35" s="61"/>
      <c r="K35" s="61"/>
      <c r="L35" s="61"/>
      <c r="M35" s="62"/>
      <c r="N35" s="62"/>
      <c r="O35" s="61"/>
      <c r="P35" s="61"/>
      <c r="Q35" s="61"/>
      <c r="R35" s="61"/>
      <c r="S35" s="61"/>
    </row>
    <row r="36" spans="3:19" ht="12.75">
      <c r="C36" s="61"/>
      <c r="D36" s="61"/>
      <c r="F36" s="61"/>
      <c r="G36" s="61"/>
      <c r="H36" s="61"/>
      <c r="I36" s="61"/>
      <c r="J36" s="61"/>
      <c r="K36" s="61"/>
      <c r="L36" s="61"/>
      <c r="M36" s="62"/>
      <c r="N36" s="62"/>
      <c r="O36" s="61"/>
      <c r="P36" s="61"/>
      <c r="Q36" s="61"/>
      <c r="R36" s="61"/>
      <c r="S36" s="61"/>
    </row>
    <row r="37" spans="3:19" ht="12.75">
      <c r="C37" s="61"/>
      <c r="D37" s="61"/>
      <c r="F37" s="61"/>
      <c r="G37" s="61"/>
      <c r="H37" s="61"/>
      <c r="I37" s="61"/>
      <c r="J37" s="61"/>
      <c r="K37" s="61"/>
      <c r="L37" s="61"/>
      <c r="M37" s="62"/>
      <c r="N37" s="62"/>
      <c r="O37" s="61"/>
      <c r="P37" s="61"/>
      <c r="Q37" s="61"/>
      <c r="R37" s="61"/>
      <c r="S37" s="61"/>
    </row>
    <row r="38" spans="3:19" ht="12.75">
      <c r="C38" s="61"/>
      <c r="D38" s="61"/>
      <c r="F38" s="61"/>
      <c r="G38" s="61"/>
      <c r="H38" s="61"/>
      <c r="I38" s="61"/>
      <c r="J38" s="61"/>
      <c r="K38" s="61"/>
      <c r="L38" s="61"/>
      <c r="M38" s="62"/>
      <c r="N38" s="62"/>
      <c r="O38" s="61"/>
      <c r="P38" s="61"/>
      <c r="Q38" s="61"/>
      <c r="R38" s="61"/>
      <c r="S38" s="61"/>
    </row>
    <row r="39" spans="3:19" ht="12.75">
      <c r="C39" s="61"/>
      <c r="D39" s="61"/>
      <c r="F39" s="61"/>
      <c r="G39" s="61"/>
      <c r="H39" s="61"/>
      <c r="I39" s="61"/>
      <c r="J39" s="61"/>
      <c r="K39" s="61"/>
      <c r="L39" s="61"/>
      <c r="M39" s="62"/>
      <c r="N39" s="62"/>
      <c r="O39" s="61"/>
      <c r="P39" s="61"/>
      <c r="Q39" s="61"/>
      <c r="R39" s="61"/>
      <c r="S39" s="61"/>
    </row>
    <row r="40" spans="3:19" ht="12.75">
      <c r="C40" s="61"/>
      <c r="D40" s="61"/>
      <c r="F40" s="61"/>
      <c r="G40" s="61"/>
      <c r="H40" s="61"/>
      <c r="I40" s="61"/>
      <c r="J40" s="61"/>
      <c r="K40" s="61"/>
      <c r="L40" s="61"/>
      <c r="M40" s="62"/>
      <c r="N40" s="62"/>
      <c r="O40" s="61"/>
      <c r="P40" s="61"/>
      <c r="Q40" s="61"/>
      <c r="R40" s="61"/>
      <c r="S40" s="61"/>
    </row>
    <row r="41" spans="3:19" ht="12.75">
      <c r="C41" s="61"/>
      <c r="D41" s="61"/>
      <c r="F41" s="61"/>
      <c r="G41" s="61"/>
      <c r="H41" s="61"/>
      <c r="I41" s="61"/>
      <c r="J41" s="61"/>
      <c r="K41" s="61"/>
      <c r="L41" s="61"/>
      <c r="M41" s="62"/>
      <c r="N41" s="62"/>
      <c r="O41" s="61"/>
      <c r="P41" s="61"/>
      <c r="Q41" s="61"/>
      <c r="R41" s="61"/>
      <c r="S41" s="61"/>
    </row>
    <row r="42" spans="3:19" ht="12.75">
      <c r="C42" s="61"/>
      <c r="D42" s="61"/>
      <c r="F42" s="61"/>
      <c r="G42" s="61"/>
      <c r="H42" s="61"/>
      <c r="I42" s="61"/>
      <c r="J42" s="61"/>
      <c r="K42" s="61"/>
      <c r="L42" s="61"/>
      <c r="M42" s="62"/>
      <c r="N42" s="62"/>
      <c r="O42" s="61"/>
      <c r="P42" s="61"/>
      <c r="Q42" s="61"/>
      <c r="R42" s="61"/>
      <c r="S42" s="61"/>
    </row>
    <row r="43" spans="3:19" ht="12.75">
      <c r="C43" s="61"/>
      <c r="D43" s="61"/>
      <c r="F43" s="61"/>
      <c r="G43" s="61"/>
      <c r="H43" s="61"/>
      <c r="I43" s="61"/>
      <c r="J43" s="61"/>
      <c r="K43" s="61"/>
      <c r="L43" s="61"/>
      <c r="M43" s="62"/>
      <c r="N43" s="62"/>
      <c r="O43" s="61"/>
      <c r="P43" s="61"/>
      <c r="Q43" s="61"/>
      <c r="R43" s="61"/>
      <c r="S43" s="61"/>
    </row>
    <row r="44" spans="3:19" ht="12.75">
      <c r="C44" s="61"/>
      <c r="D44" s="61"/>
      <c r="F44" s="61"/>
      <c r="G44" s="61"/>
      <c r="H44" s="61"/>
      <c r="I44" s="61"/>
      <c r="J44" s="61"/>
      <c r="K44" s="61"/>
      <c r="L44" s="61"/>
      <c r="M44" s="62"/>
      <c r="N44" s="62"/>
      <c r="O44" s="61"/>
      <c r="P44" s="61"/>
      <c r="Q44" s="61"/>
      <c r="R44" s="61"/>
      <c r="S44" s="61"/>
    </row>
    <row r="45" spans="3:19" ht="12.75">
      <c r="C45" s="61"/>
      <c r="D45" s="61"/>
      <c r="F45" s="61"/>
      <c r="G45" s="61"/>
      <c r="H45" s="61"/>
      <c r="I45" s="61"/>
      <c r="J45" s="61"/>
      <c r="K45" s="61"/>
      <c r="L45" s="61"/>
      <c r="M45" s="62"/>
      <c r="N45" s="62"/>
      <c r="O45" s="61"/>
      <c r="P45" s="61"/>
      <c r="Q45" s="61"/>
      <c r="R45" s="61"/>
      <c r="S45" s="61"/>
    </row>
    <row r="46" spans="3:19" ht="12.75">
      <c r="C46" s="61"/>
      <c r="D46" s="61"/>
      <c r="F46" s="61"/>
      <c r="G46" s="61"/>
      <c r="H46" s="61"/>
      <c r="I46" s="61"/>
      <c r="J46" s="61"/>
      <c r="K46" s="61"/>
      <c r="L46" s="61"/>
      <c r="M46" s="62"/>
      <c r="N46" s="62"/>
      <c r="O46" s="61"/>
      <c r="P46" s="61"/>
      <c r="Q46" s="61"/>
      <c r="R46" s="61"/>
      <c r="S46" s="61"/>
    </row>
    <row r="47" spans="3:19" ht="12.75">
      <c r="C47" s="61"/>
      <c r="D47" s="61"/>
      <c r="F47" s="61"/>
      <c r="G47" s="61"/>
      <c r="H47" s="61"/>
      <c r="I47" s="61"/>
      <c r="J47" s="61"/>
      <c r="K47" s="61"/>
      <c r="L47" s="61"/>
      <c r="M47" s="62"/>
      <c r="N47" s="62"/>
      <c r="O47" s="61"/>
      <c r="P47" s="61"/>
      <c r="Q47" s="61"/>
      <c r="R47" s="61"/>
      <c r="S47" s="61"/>
    </row>
    <row r="48" spans="3:19" ht="12.75">
      <c r="C48" s="66"/>
      <c r="D48" s="66"/>
      <c r="F48" s="61"/>
      <c r="G48" s="61"/>
      <c r="H48" s="61"/>
      <c r="I48" s="61"/>
      <c r="J48" s="61"/>
      <c r="K48" s="61"/>
      <c r="L48" s="61"/>
      <c r="M48" s="67"/>
      <c r="N48" s="67"/>
      <c r="O48" s="61"/>
      <c r="P48" s="61"/>
      <c r="Q48" s="61"/>
      <c r="R48" s="61"/>
      <c r="S48" s="61"/>
    </row>
    <row r="49" spans="3:19" ht="12.75">
      <c r="C49" s="66"/>
      <c r="D49" s="66"/>
      <c r="F49" s="61"/>
      <c r="G49" s="61"/>
      <c r="H49" s="61"/>
      <c r="I49" s="61"/>
      <c r="J49" s="61"/>
      <c r="K49" s="61"/>
      <c r="L49" s="61"/>
      <c r="M49" s="67"/>
      <c r="N49" s="67"/>
      <c r="O49" s="61"/>
      <c r="P49" s="61"/>
      <c r="Q49" s="61"/>
      <c r="R49" s="61"/>
      <c r="S49" s="61"/>
    </row>
    <row r="50" spans="3:19" ht="12.75">
      <c r="C50" s="66"/>
      <c r="D50" s="66"/>
      <c r="F50" s="61"/>
      <c r="G50" s="61"/>
      <c r="H50" s="61"/>
      <c r="I50" s="61"/>
      <c r="J50" s="61"/>
      <c r="K50" s="61"/>
      <c r="L50" s="61"/>
      <c r="M50" s="67"/>
      <c r="N50" s="67"/>
      <c r="O50" s="61"/>
      <c r="P50" s="61"/>
      <c r="Q50" s="61"/>
      <c r="R50" s="61"/>
      <c r="S50" s="61"/>
    </row>
    <row r="51" spans="3:19" ht="12.75">
      <c r="C51" s="66"/>
      <c r="D51" s="66"/>
      <c r="F51" s="61"/>
      <c r="G51" s="61"/>
      <c r="H51" s="61"/>
      <c r="I51" s="61"/>
      <c r="J51" s="61"/>
      <c r="K51" s="61"/>
      <c r="L51" s="61"/>
      <c r="M51" s="67"/>
      <c r="N51" s="67"/>
      <c r="O51" s="61"/>
      <c r="P51" s="61"/>
      <c r="Q51" s="61"/>
      <c r="R51" s="61"/>
      <c r="S51" s="61"/>
    </row>
    <row r="52" spans="3:19" ht="12.75">
      <c r="C52" s="66"/>
      <c r="D52" s="66"/>
      <c r="F52" s="61"/>
      <c r="G52" s="61"/>
      <c r="H52" s="61"/>
      <c r="I52" s="61"/>
      <c r="J52" s="61"/>
      <c r="K52" s="61"/>
      <c r="L52" s="61"/>
      <c r="M52" s="67"/>
      <c r="N52" s="67"/>
      <c r="O52" s="61"/>
      <c r="P52" s="61"/>
      <c r="Q52" s="61"/>
      <c r="R52" s="61"/>
      <c r="S52" s="61"/>
    </row>
    <row r="53" spans="3:19" ht="12.75">
      <c r="C53" s="66"/>
      <c r="D53" s="66"/>
      <c r="F53" s="61"/>
      <c r="G53" s="61"/>
      <c r="H53" s="61"/>
      <c r="I53" s="61"/>
      <c r="J53" s="61"/>
      <c r="K53" s="61"/>
      <c r="L53" s="61"/>
      <c r="M53" s="67"/>
      <c r="N53" s="67"/>
      <c r="O53" s="61"/>
      <c r="P53" s="61"/>
      <c r="Q53" s="61"/>
      <c r="R53" s="61"/>
      <c r="S53" s="61"/>
    </row>
    <row r="54" spans="3:19" ht="12.75">
      <c r="C54" s="66"/>
      <c r="D54" s="66"/>
      <c r="F54" s="61"/>
      <c r="G54" s="61"/>
      <c r="H54" s="61"/>
      <c r="I54" s="61"/>
      <c r="J54" s="61"/>
      <c r="K54" s="61"/>
      <c r="L54" s="61"/>
      <c r="M54" s="67"/>
      <c r="N54" s="67"/>
      <c r="O54" s="61"/>
      <c r="P54" s="61"/>
      <c r="Q54" s="61"/>
      <c r="R54" s="61"/>
      <c r="S54" s="61"/>
    </row>
    <row r="55" spans="3:19" ht="12.75">
      <c r="C55" s="66"/>
      <c r="D55" s="66"/>
      <c r="F55" s="61"/>
      <c r="G55" s="61"/>
      <c r="H55" s="61"/>
      <c r="I55" s="61"/>
      <c r="J55" s="61"/>
      <c r="K55" s="61"/>
      <c r="L55" s="61"/>
      <c r="M55" s="67"/>
      <c r="N55" s="67"/>
      <c r="O55" s="61"/>
      <c r="P55" s="61"/>
      <c r="Q55" s="61"/>
      <c r="R55" s="61"/>
      <c r="S55" s="61"/>
    </row>
    <row r="56" spans="3:19" ht="12.75">
      <c r="C56" s="66"/>
      <c r="D56" s="66"/>
      <c r="F56" s="61"/>
      <c r="G56" s="61"/>
      <c r="H56" s="61"/>
      <c r="I56" s="61"/>
      <c r="J56" s="61"/>
      <c r="K56" s="61"/>
      <c r="L56" s="61"/>
      <c r="M56" s="67"/>
      <c r="N56" s="67"/>
      <c r="O56" s="61"/>
      <c r="P56" s="61"/>
      <c r="Q56" s="61"/>
      <c r="R56" s="61"/>
      <c r="S56" s="61"/>
    </row>
    <row r="57" spans="3:19" ht="12.75">
      <c r="C57" s="66"/>
      <c r="D57" s="66"/>
      <c r="F57" s="61"/>
      <c r="G57" s="61"/>
      <c r="H57" s="61"/>
      <c r="I57" s="61"/>
      <c r="J57" s="61"/>
      <c r="K57" s="61"/>
      <c r="L57" s="61"/>
      <c r="M57" s="67"/>
      <c r="N57" s="67"/>
      <c r="O57" s="61"/>
      <c r="P57" s="61"/>
      <c r="Q57" s="61"/>
      <c r="R57" s="61"/>
      <c r="S57" s="61"/>
    </row>
    <row r="58" spans="3:19" ht="12.75">
      <c r="C58" s="66"/>
      <c r="D58" s="66"/>
      <c r="F58" s="61"/>
      <c r="G58" s="61"/>
      <c r="H58" s="61"/>
      <c r="I58" s="61"/>
      <c r="J58" s="61"/>
      <c r="K58" s="61"/>
      <c r="L58" s="61"/>
      <c r="M58" s="67"/>
      <c r="N58" s="67"/>
      <c r="O58" s="61"/>
      <c r="P58" s="61"/>
      <c r="Q58" s="61"/>
      <c r="R58" s="61"/>
      <c r="S58" s="61"/>
    </row>
    <row r="59" spans="3:19" ht="12.75">
      <c r="C59" s="66"/>
      <c r="D59" s="66"/>
      <c r="F59" s="61"/>
      <c r="G59" s="61"/>
      <c r="H59" s="61"/>
      <c r="I59" s="61"/>
      <c r="J59" s="61"/>
      <c r="K59" s="61"/>
      <c r="L59" s="61"/>
      <c r="M59" s="67"/>
      <c r="N59" s="67"/>
      <c r="O59" s="61"/>
      <c r="P59" s="61"/>
      <c r="Q59" s="61"/>
      <c r="R59" s="61"/>
      <c r="S59" s="61"/>
    </row>
    <row r="60" spans="3:19" ht="12.75">
      <c r="C60" s="66"/>
      <c r="D60" s="66"/>
      <c r="F60" s="61"/>
      <c r="G60" s="61"/>
      <c r="H60" s="61"/>
      <c r="I60" s="61"/>
      <c r="J60" s="61"/>
      <c r="K60" s="61"/>
      <c r="L60" s="61"/>
      <c r="M60" s="67"/>
      <c r="N60" s="67"/>
      <c r="O60" s="61"/>
      <c r="P60" s="61"/>
      <c r="Q60" s="61"/>
      <c r="R60" s="61"/>
      <c r="S60" s="61"/>
    </row>
    <row r="61" spans="3:19" ht="12.75">
      <c r="C61" s="66"/>
      <c r="D61" s="66"/>
      <c r="F61" s="61"/>
      <c r="G61" s="61"/>
      <c r="H61" s="61"/>
      <c r="I61" s="61"/>
      <c r="J61" s="61"/>
      <c r="K61" s="61"/>
      <c r="L61" s="61"/>
      <c r="M61" s="67"/>
      <c r="N61" s="67"/>
      <c r="O61" s="61"/>
      <c r="P61" s="61"/>
      <c r="Q61" s="61"/>
      <c r="R61" s="61"/>
      <c r="S61" s="61"/>
    </row>
    <row r="62" spans="3:19" ht="12.75">
      <c r="C62" s="66"/>
      <c r="D62" s="66"/>
      <c r="F62" s="61"/>
      <c r="G62" s="61"/>
      <c r="H62" s="61"/>
      <c r="I62" s="61"/>
      <c r="J62" s="61"/>
      <c r="K62" s="61"/>
      <c r="L62" s="61"/>
      <c r="M62" s="67"/>
      <c r="N62" s="67"/>
      <c r="O62" s="61"/>
      <c r="P62" s="61"/>
      <c r="Q62" s="61"/>
      <c r="R62" s="61"/>
      <c r="S62" s="61"/>
    </row>
    <row r="63" spans="3:19" ht="12.75">
      <c r="C63" s="66"/>
      <c r="D63" s="66"/>
      <c r="F63" s="61"/>
      <c r="G63" s="61"/>
      <c r="H63" s="61"/>
      <c r="I63" s="61"/>
      <c r="J63" s="61"/>
      <c r="K63" s="61"/>
      <c r="L63" s="61"/>
      <c r="M63" s="67"/>
      <c r="N63" s="67"/>
      <c r="O63" s="61"/>
      <c r="P63" s="61"/>
      <c r="Q63" s="61"/>
      <c r="R63" s="61"/>
      <c r="S63" s="61"/>
    </row>
    <row r="64" spans="3:19" ht="12.75">
      <c r="C64" s="66"/>
      <c r="D64" s="66"/>
      <c r="F64" s="61"/>
      <c r="G64" s="61"/>
      <c r="H64" s="61"/>
      <c r="I64" s="61"/>
      <c r="J64" s="61"/>
      <c r="K64" s="61"/>
      <c r="L64" s="61"/>
      <c r="M64" s="67"/>
      <c r="N64" s="67"/>
      <c r="O64" s="61"/>
      <c r="P64" s="61"/>
      <c r="Q64" s="61"/>
      <c r="R64" s="61"/>
      <c r="S64" s="61"/>
    </row>
    <row r="65" spans="3:19" ht="12.75">
      <c r="C65" s="66"/>
      <c r="D65" s="66"/>
      <c r="F65" s="61"/>
      <c r="G65" s="61"/>
      <c r="H65" s="61"/>
      <c r="I65" s="61"/>
      <c r="J65" s="61"/>
      <c r="K65" s="61"/>
      <c r="L65" s="61"/>
      <c r="M65" s="67"/>
      <c r="N65" s="67"/>
      <c r="O65" s="61"/>
      <c r="P65" s="61"/>
      <c r="Q65" s="61"/>
      <c r="R65" s="61"/>
      <c r="S65" s="61"/>
    </row>
    <row r="66" spans="3:19" ht="12.75">
      <c r="C66" s="66"/>
      <c r="D66" s="66"/>
      <c r="F66" s="61"/>
      <c r="G66" s="61"/>
      <c r="H66" s="61"/>
      <c r="I66" s="61"/>
      <c r="J66" s="61"/>
      <c r="K66" s="61"/>
      <c r="L66" s="61"/>
      <c r="M66" s="67"/>
      <c r="N66" s="67"/>
      <c r="O66" s="61"/>
      <c r="P66" s="61"/>
      <c r="Q66" s="61"/>
      <c r="R66" s="61"/>
      <c r="S66" s="61"/>
    </row>
    <row r="67" spans="3:19" ht="12.75">
      <c r="C67" s="66"/>
      <c r="D67" s="66"/>
      <c r="F67" s="61"/>
      <c r="G67" s="61"/>
      <c r="H67" s="61"/>
      <c r="I67" s="61"/>
      <c r="J67" s="61"/>
      <c r="K67" s="61"/>
      <c r="L67" s="61"/>
      <c r="M67" s="67"/>
      <c r="N67" s="67"/>
      <c r="O67" s="61"/>
      <c r="P67" s="61"/>
      <c r="Q67" s="61"/>
      <c r="R67" s="61"/>
      <c r="S67" s="61"/>
    </row>
    <row r="68" spans="3:19" ht="12.75">
      <c r="C68" s="66"/>
      <c r="D68" s="66"/>
      <c r="F68" s="61"/>
      <c r="G68" s="61"/>
      <c r="H68" s="61"/>
      <c r="I68" s="61"/>
      <c r="J68" s="61"/>
      <c r="K68" s="61"/>
      <c r="L68" s="61"/>
      <c r="M68" s="67"/>
      <c r="N68" s="67"/>
      <c r="O68" s="61"/>
      <c r="P68" s="61"/>
      <c r="Q68" s="61"/>
      <c r="R68" s="61"/>
      <c r="S68" s="61"/>
    </row>
    <row r="69" spans="3:19" ht="12.75">
      <c r="C69" s="66"/>
      <c r="D69" s="66"/>
      <c r="F69" s="61"/>
      <c r="G69" s="61"/>
      <c r="H69" s="61"/>
      <c r="I69" s="61"/>
      <c r="J69" s="61"/>
      <c r="K69" s="61"/>
      <c r="L69" s="61"/>
      <c r="M69" s="67"/>
      <c r="N69" s="67"/>
      <c r="O69" s="61"/>
      <c r="P69" s="61"/>
      <c r="Q69" s="61"/>
      <c r="R69" s="61"/>
      <c r="S69" s="61"/>
    </row>
    <row r="70" spans="3:19" ht="12.75">
      <c r="C70" s="66"/>
      <c r="D70" s="66"/>
      <c r="F70" s="61"/>
      <c r="G70" s="61"/>
      <c r="H70" s="61"/>
      <c r="I70" s="61"/>
      <c r="J70" s="61"/>
      <c r="K70" s="61"/>
      <c r="L70" s="61"/>
      <c r="M70" s="67"/>
      <c r="N70" s="67"/>
      <c r="O70" s="61"/>
      <c r="P70" s="61"/>
      <c r="Q70" s="61"/>
      <c r="R70" s="61"/>
      <c r="S70" s="61"/>
    </row>
    <row r="71" spans="3:19" ht="12.75">
      <c r="C71" s="66"/>
      <c r="D71" s="66"/>
      <c r="F71" s="61"/>
      <c r="G71" s="61"/>
      <c r="H71" s="61"/>
      <c r="I71" s="61"/>
      <c r="J71" s="61"/>
      <c r="K71" s="61"/>
      <c r="L71" s="61"/>
      <c r="M71" s="67"/>
      <c r="N71" s="67"/>
      <c r="O71" s="61"/>
      <c r="P71" s="61"/>
      <c r="Q71" s="61"/>
      <c r="R71" s="61"/>
      <c r="S71" s="61"/>
    </row>
    <row r="72" spans="3:19" ht="12.75">
      <c r="C72" s="66"/>
      <c r="D72" s="66"/>
      <c r="F72" s="61"/>
      <c r="G72" s="61"/>
      <c r="H72" s="61"/>
      <c r="I72" s="61"/>
      <c r="J72" s="61"/>
      <c r="K72" s="61"/>
      <c r="L72" s="61"/>
      <c r="M72" s="67"/>
      <c r="N72" s="67"/>
      <c r="O72" s="61"/>
      <c r="P72" s="61"/>
      <c r="Q72" s="61"/>
      <c r="R72" s="61"/>
      <c r="S72" s="61"/>
    </row>
    <row r="73" spans="3:19" ht="12.75">
      <c r="C73" s="66"/>
      <c r="D73" s="66"/>
      <c r="F73" s="61"/>
      <c r="G73" s="61"/>
      <c r="H73" s="61"/>
      <c r="I73" s="61"/>
      <c r="J73" s="61"/>
      <c r="K73" s="61"/>
      <c r="L73" s="61"/>
      <c r="M73" s="67"/>
      <c r="N73" s="67"/>
      <c r="O73" s="61"/>
      <c r="P73" s="61"/>
      <c r="Q73" s="61"/>
      <c r="R73" s="61"/>
      <c r="S73" s="61"/>
    </row>
    <row r="74" spans="3:19" ht="12.75">
      <c r="C74" s="66"/>
      <c r="D74" s="66"/>
      <c r="F74" s="61"/>
      <c r="G74" s="61"/>
      <c r="H74" s="61"/>
      <c r="I74" s="61"/>
      <c r="J74" s="61"/>
      <c r="K74" s="61"/>
      <c r="L74" s="61"/>
      <c r="M74" s="67"/>
      <c r="N74" s="67"/>
      <c r="O74" s="61"/>
      <c r="P74" s="61"/>
      <c r="Q74" s="61"/>
      <c r="R74" s="61"/>
      <c r="S74" s="61"/>
    </row>
    <row r="75" spans="3:19" ht="12.75">
      <c r="C75" s="66"/>
      <c r="D75" s="66"/>
      <c r="F75" s="61"/>
      <c r="G75" s="61"/>
      <c r="H75" s="61"/>
      <c r="I75" s="61"/>
      <c r="J75" s="61"/>
      <c r="K75" s="61"/>
      <c r="L75" s="61"/>
      <c r="M75" s="67"/>
      <c r="N75" s="67"/>
      <c r="O75" s="61"/>
      <c r="P75" s="61"/>
      <c r="Q75" s="61"/>
      <c r="R75" s="61"/>
      <c r="S75" s="61"/>
    </row>
    <row r="76" spans="3:19" ht="12.75">
      <c r="C76" s="66"/>
      <c r="D76" s="66"/>
      <c r="F76" s="61"/>
      <c r="G76" s="61"/>
      <c r="H76" s="61"/>
      <c r="I76" s="61"/>
      <c r="J76" s="61"/>
      <c r="K76" s="61"/>
      <c r="L76" s="61"/>
      <c r="M76" s="67"/>
      <c r="N76" s="67"/>
      <c r="O76" s="61"/>
      <c r="P76" s="61"/>
      <c r="Q76" s="61"/>
      <c r="R76" s="61"/>
      <c r="S76" s="61"/>
    </row>
    <row r="77" spans="3:19" ht="12.75">
      <c r="C77" s="66"/>
      <c r="D77" s="66"/>
      <c r="F77" s="61"/>
      <c r="G77" s="61"/>
      <c r="H77" s="61"/>
      <c r="I77" s="61"/>
      <c r="J77" s="61"/>
      <c r="K77" s="61"/>
      <c r="L77" s="61"/>
      <c r="M77" s="67"/>
      <c r="N77" s="67"/>
      <c r="O77" s="61"/>
      <c r="P77" s="61"/>
      <c r="Q77" s="61"/>
      <c r="R77" s="61"/>
      <c r="S77" s="61"/>
    </row>
    <row r="78" spans="3:19" ht="12.75">
      <c r="C78" s="66"/>
      <c r="D78" s="66"/>
      <c r="F78" s="61"/>
      <c r="G78" s="61"/>
      <c r="H78" s="61"/>
      <c r="I78" s="61"/>
      <c r="J78" s="61"/>
      <c r="K78" s="61"/>
      <c r="L78" s="61"/>
      <c r="M78" s="67"/>
      <c r="N78" s="67"/>
      <c r="O78" s="61"/>
      <c r="P78" s="61"/>
      <c r="Q78" s="61"/>
      <c r="R78" s="61"/>
      <c r="S78" s="61"/>
    </row>
    <row r="79" spans="3:19" ht="12.75">
      <c r="C79" s="66"/>
      <c r="D79" s="66"/>
      <c r="F79" s="61"/>
      <c r="G79" s="61"/>
      <c r="H79" s="61"/>
      <c r="I79" s="61"/>
      <c r="J79" s="61"/>
      <c r="K79" s="61"/>
      <c r="L79" s="61"/>
      <c r="M79" s="67"/>
      <c r="N79" s="67"/>
      <c r="O79" s="61"/>
      <c r="P79" s="61"/>
      <c r="Q79" s="61"/>
      <c r="R79" s="61"/>
      <c r="S79" s="61"/>
    </row>
    <row r="80" spans="3:19" ht="12.75">
      <c r="C80" s="66"/>
      <c r="D80" s="66"/>
      <c r="F80" s="61"/>
      <c r="G80" s="61"/>
      <c r="H80" s="61"/>
      <c r="I80" s="61"/>
      <c r="J80" s="61"/>
      <c r="K80" s="61"/>
      <c r="L80" s="61"/>
      <c r="M80" s="67"/>
      <c r="N80" s="67"/>
      <c r="O80" s="61"/>
      <c r="P80" s="61"/>
      <c r="Q80" s="61"/>
      <c r="R80" s="61"/>
      <c r="S80" s="61"/>
    </row>
    <row r="81" spans="3:19" ht="12.75">
      <c r="C81" s="66"/>
      <c r="D81" s="66"/>
      <c r="F81" s="61"/>
      <c r="G81" s="61"/>
      <c r="H81" s="61"/>
      <c r="I81" s="61"/>
      <c r="J81" s="61"/>
      <c r="K81" s="61"/>
      <c r="L81" s="61"/>
      <c r="M81" s="67"/>
      <c r="N81" s="67"/>
      <c r="O81" s="61"/>
      <c r="P81" s="61"/>
      <c r="Q81" s="61"/>
      <c r="R81" s="61"/>
      <c r="S81" s="61"/>
    </row>
    <row r="82" spans="3:19" ht="12.75">
      <c r="C82" s="66"/>
      <c r="D82" s="66"/>
      <c r="F82" s="61"/>
      <c r="G82" s="61"/>
      <c r="H82" s="61"/>
      <c r="I82" s="61"/>
      <c r="J82" s="61"/>
      <c r="K82" s="61"/>
      <c r="L82" s="61"/>
      <c r="M82" s="67"/>
      <c r="N82" s="67"/>
      <c r="O82" s="61"/>
      <c r="P82" s="61"/>
      <c r="Q82" s="61"/>
      <c r="R82" s="61"/>
      <c r="S82" s="61"/>
    </row>
    <row r="83" spans="3:19" ht="12.75">
      <c r="C83" s="66"/>
      <c r="D83" s="66"/>
      <c r="F83" s="61"/>
      <c r="G83" s="61"/>
      <c r="H83" s="61"/>
      <c r="I83" s="61"/>
      <c r="J83" s="61"/>
      <c r="K83" s="61"/>
      <c r="L83" s="61"/>
      <c r="M83" s="67"/>
      <c r="N83" s="67"/>
      <c r="O83" s="61"/>
      <c r="P83" s="61"/>
      <c r="Q83" s="61"/>
      <c r="R83" s="61"/>
      <c r="S83" s="61"/>
    </row>
    <row r="84" spans="3:19" ht="12.75">
      <c r="C84" s="66"/>
      <c r="D84" s="66"/>
      <c r="F84" s="61"/>
      <c r="G84" s="61"/>
      <c r="H84" s="61"/>
      <c r="I84" s="61"/>
      <c r="J84" s="61"/>
      <c r="K84" s="61"/>
      <c r="L84" s="61"/>
      <c r="M84" s="67"/>
      <c r="N84" s="67"/>
      <c r="O84" s="61"/>
      <c r="P84" s="61"/>
      <c r="Q84" s="61"/>
      <c r="R84" s="61"/>
      <c r="S84" s="61"/>
    </row>
    <row r="85" spans="3:19" ht="12.75">
      <c r="C85" s="66"/>
      <c r="D85" s="66"/>
      <c r="F85" s="61"/>
      <c r="G85" s="61"/>
      <c r="H85" s="61"/>
      <c r="I85" s="61"/>
      <c r="J85" s="61"/>
      <c r="K85" s="61"/>
      <c r="L85" s="61"/>
      <c r="M85" s="67"/>
      <c r="N85" s="67"/>
      <c r="O85" s="61"/>
      <c r="P85" s="61"/>
      <c r="Q85" s="61"/>
      <c r="R85" s="61"/>
      <c r="S85" s="61"/>
    </row>
    <row r="86" spans="3:19" ht="12.75">
      <c r="C86" s="66"/>
      <c r="D86" s="66"/>
      <c r="F86" s="61"/>
      <c r="G86" s="61"/>
      <c r="H86" s="61"/>
      <c r="I86" s="61"/>
      <c r="J86" s="61"/>
      <c r="K86" s="61"/>
      <c r="L86" s="61"/>
      <c r="M86" s="67"/>
      <c r="N86" s="67"/>
      <c r="O86" s="61"/>
      <c r="P86" s="61"/>
      <c r="Q86" s="61"/>
      <c r="R86" s="61"/>
      <c r="S86" s="61"/>
    </row>
    <row r="87" spans="3:19" ht="12.75">
      <c r="C87" s="66"/>
      <c r="D87" s="66"/>
      <c r="F87" s="61"/>
      <c r="G87" s="61"/>
      <c r="H87" s="61"/>
      <c r="I87" s="61"/>
      <c r="J87" s="61"/>
      <c r="K87" s="61"/>
      <c r="L87" s="61"/>
      <c r="M87" s="67"/>
      <c r="N87" s="67"/>
      <c r="O87" s="61"/>
      <c r="P87" s="61"/>
      <c r="Q87" s="61"/>
      <c r="R87" s="61"/>
      <c r="S87" s="61"/>
    </row>
    <row r="88" spans="3:19" ht="12.75">
      <c r="C88" s="66"/>
      <c r="D88" s="66"/>
      <c r="F88" s="61"/>
      <c r="G88" s="61"/>
      <c r="H88" s="61"/>
      <c r="I88" s="61"/>
      <c r="J88" s="61"/>
      <c r="K88" s="61"/>
      <c r="L88" s="61"/>
      <c r="M88" s="67"/>
      <c r="N88" s="67"/>
      <c r="O88" s="61"/>
      <c r="P88" s="61"/>
      <c r="Q88" s="61"/>
      <c r="R88" s="61"/>
      <c r="S88" s="61"/>
    </row>
    <row r="89" spans="3:19" ht="12.75">
      <c r="C89" s="66"/>
      <c r="D89" s="66"/>
      <c r="F89" s="61"/>
      <c r="G89" s="61"/>
      <c r="H89" s="61"/>
      <c r="I89" s="61"/>
      <c r="J89" s="61"/>
      <c r="K89" s="61"/>
      <c r="L89" s="61"/>
      <c r="M89" s="67"/>
      <c r="N89" s="67"/>
      <c r="O89" s="61"/>
      <c r="P89" s="61"/>
      <c r="Q89" s="61"/>
      <c r="R89" s="61"/>
      <c r="S89" s="61"/>
    </row>
    <row r="90" spans="3:19" ht="12.75">
      <c r="C90" s="66"/>
      <c r="D90" s="66"/>
      <c r="F90" s="61"/>
      <c r="G90" s="61"/>
      <c r="H90" s="61"/>
      <c r="I90" s="61"/>
      <c r="J90" s="61"/>
      <c r="K90" s="61"/>
      <c r="L90" s="61"/>
      <c r="M90" s="67"/>
      <c r="N90" s="67"/>
      <c r="O90" s="61"/>
      <c r="P90" s="61"/>
      <c r="Q90" s="61"/>
      <c r="R90" s="61"/>
      <c r="S90" s="61"/>
    </row>
    <row r="91" spans="3:19" ht="12.75">
      <c r="C91" s="66"/>
      <c r="D91" s="66"/>
      <c r="F91" s="61"/>
      <c r="G91" s="61"/>
      <c r="H91" s="61"/>
      <c r="I91" s="61"/>
      <c r="J91" s="61"/>
      <c r="K91" s="61"/>
      <c r="L91" s="61"/>
      <c r="M91" s="67"/>
      <c r="N91" s="67"/>
      <c r="O91" s="61"/>
      <c r="P91" s="61"/>
      <c r="Q91" s="61"/>
      <c r="R91" s="61"/>
      <c r="S91" s="61"/>
    </row>
    <row r="92" spans="3:19" ht="12.75">
      <c r="C92" s="66"/>
      <c r="D92" s="66"/>
      <c r="F92" s="61"/>
      <c r="G92" s="61"/>
      <c r="H92" s="61"/>
      <c r="I92" s="61"/>
      <c r="J92" s="61"/>
      <c r="K92" s="61"/>
      <c r="L92" s="61"/>
      <c r="M92" s="67"/>
      <c r="N92" s="67"/>
      <c r="O92" s="61"/>
      <c r="P92" s="61"/>
      <c r="Q92" s="61"/>
      <c r="R92" s="61"/>
      <c r="S92" s="61"/>
    </row>
    <row r="93" spans="3:19" ht="12.75">
      <c r="C93" s="66"/>
      <c r="D93" s="66"/>
      <c r="F93" s="61"/>
      <c r="G93" s="61"/>
      <c r="H93" s="61"/>
      <c r="I93" s="61"/>
      <c r="J93" s="61"/>
      <c r="K93" s="61"/>
      <c r="L93" s="61"/>
      <c r="M93" s="67"/>
      <c r="N93" s="67"/>
      <c r="O93" s="61"/>
      <c r="P93" s="61"/>
      <c r="Q93" s="61"/>
      <c r="R93" s="61"/>
      <c r="S93" s="61"/>
    </row>
    <row r="94" spans="3:19" ht="12.75">
      <c r="C94" s="66"/>
      <c r="D94" s="66"/>
      <c r="F94" s="61"/>
      <c r="G94" s="61"/>
      <c r="H94" s="61"/>
      <c r="I94" s="61"/>
      <c r="J94" s="61"/>
      <c r="K94" s="61"/>
      <c r="L94" s="61"/>
      <c r="M94" s="67"/>
      <c r="N94" s="67"/>
      <c r="O94" s="61"/>
      <c r="P94" s="61"/>
      <c r="Q94" s="61"/>
      <c r="R94" s="61"/>
      <c r="S94" s="61"/>
    </row>
    <row r="95" spans="3:19" ht="12.75">
      <c r="C95" s="66"/>
      <c r="D95" s="66"/>
      <c r="F95" s="61"/>
      <c r="G95" s="61"/>
      <c r="H95" s="61"/>
      <c r="I95" s="61"/>
      <c r="J95" s="61"/>
      <c r="K95" s="61"/>
      <c r="L95" s="61"/>
      <c r="M95" s="67"/>
      <c r="N95" s="67"/>
      <c r="O95" s="61"/>
      <c r="P95" s="61"/>
      <c r="Q95" s="61"/>
      <c r="R95" s="61"/>
      <c r="S95" s="61"/>
    </row>
    <row r="96" spans="3:19" ht="12.75">
      <c r="C96" s="66"/>
      <c r="D96" s="66"/>
      <c r="F96" s="61"/>
      <c r="G96" s="61"/>
      <c r="H96" s="61"/>
      <c r="I96" s="61"/>
      <c r="J96" s="61"/>
      <c r="K96" s="61"/>
      <c r="L96" s="61"/>
      <c r="M96" s="67"/>
      <c r="N96" s="67"/>
      <c r="O96" s="61"/>
      <c r="P96" s="61"/>
      <c r="Q96" s="61"/>
      <c r="R96" s="61"/>
      <c r="S96" s="61"/>
    </row>
    <row r="97" spans="3:19" ht="12.75">
      <c r="C97" s="66"/>
      <c r="D97" s="66"/>
      <c r="F97" s="61"/>
      <c r="G97" s="61"/>
      <c r="H97" s="61"/>
      <c r="I97" s="61"/>
      <c r="J97" s="61"/>
      <c r="K97" s="61"/>
      <c r="L97" s="61"/>
      <c r="M97" s="67"/>
      <c r="N97" s="67"/>
      <c r="O97" s="61"/>
      <c r="P97" s="61"/>
      <c r="Q97" s="61"/>
      <c r="R97" s="61"/>
      <c r="S97" s="61"/>
    </row>
    <row r="98" spans="3:19" ht="12.75">
      <c r="C98" s="66"/>
      <c r="D98" s="66"/>
      <c r="F98" s="61"/>
      <c r="G98" s="61"/>
      <c r="H98" s="61"/>
      <c r="I98" s="61"/>
      <c r="J98" s="61"/>
      <c r="K98" s="61"/>
      <c r="L98" s="61"/>
      <c r="M98" s="67"/>
      <c r="N98" s="67"/>
      <c r="O98" s="61"/>
      <c r="P98" s="61"/>
      <c r="Q98" s="61"/>
      <c r="R98" s="61"/>
      <c r="S98" s="61"/>
    </row>
    <row r="99" spans="3:19" ht="12.75">
      <c r="C99" s="66"/>
      <c r="D99" s="66"/>
      <c r="F99" s="61"/>
      <c r="G99" s="61"/>
      <c r="H99" s="61"/>
      <c r="I99" s="61"/>
      <c r="J99" s="61"/>
      <c r="K99" s="61"/>
      <c r="L99" s="61"/>
      <c r="M99" s="67"/>
      <c r="N99" s="67"/>
      <c r="O99" s="61"/>
      <c r="P99" s="61"/>
      <c r="Q99" s="61"/>
      <c r="R99" s="61"/>
      <c r="S99" s="61"/>
    </row>
    <row r="100" spans="3:19" ht="12.75">
      <c r="C100" s="66"/>
      <c r="D100" s="66"/>
      <c r="F100" s="61"/>
      <c r="G100" s="61"/>
      <c r="H100" s="61"/>
      <c r="I100" s="61"/>
      <c r="J100" s="61"/>
      <c r="K100" s="61"/>
      <c r="L100" s="61"/>
      <c r="M100" s="67"/>
      <c r="N100" s="67"/>
      <c r="O100" s="61"/>
      <c r="P100" s="61"/>
      <c r="Q100" s="61"/>
      <c r="R100" s="61"/>
      <c r="S100" s="61"/>
    </row>
    <row r="101" spans="3:19" ht="12.75">
      <c r="C101" s="66"/>
      <c r="D101" s="66"/>
      <c r="F101" s="61"/>
      <c r="G101" s="61"/>
      <c r="H101" s="61"/>
      <c r="I101" s="61"/>
      <c r="J101" s="61"/>
      <c r="K101" s="61"/>
      <c r="L101" s="61"/>
      <c r="M101" s="67"/>
      <c r="N101" s="67"/>
      <c r="O101" s="61"/>
      <c r="P101" s="61"/>
      <c r="Q101" s="61"/>
      <c r="R101" s="61"/>
      <c r="S101" s="61"/>
    </row>
    <row r="102" spans="3:19" ht="12.75">
      <c r="C102" s="66"/>
      <c r="D102" s="66"/>
      <c r="F102" s="61"/>
      <c r="G102" s="61"/>
      <c r="H102" s="61"/>
      <c r="I102" s="61"/>
      <c r="J102" s="61"/>
      <c r="K102" s="61"/>
      <c r="L102" s="61"/>
      <c r="M102" s="67"/>
      <c r="N102" s="67"/>
      <c r="O102" s="61"/>
      <c r="P102" s="61"/>
      <c r="Q102" s="61"/>
      <c r="R102" s="61"/>
      <c r="S102" s="61"/>
    </row>
    <row r="103" spans="3:19" ht="12.75">
      <c r="C103" s="66"/>
      <c r="D103" s="66"/>
      <c r="F103" s="61"/>
      <c r="G103" s="61"/>
      <c r="H103" s="61"/>
      <c r="I103" s="61"/>
      <c r="J103" s="61"/>
      <c r="K103" s="61"/>
      <c r="L103" s="61"/>
      <c r="M103" s="67"/>
      <c r="N103" s="67"/>
      <c r="O103" s="61"/>
      <c r="P103" s="61"/>
      <c r="Q103" s="61"/>
      <c r="R103" s="61"/>
      <c r="S103" s="61"/>
    </row>
    <row r="104" spans="3:19" ht="12.75">
      <c r="C104" s="66"/>
      <c r="D104" s="66"/>
      <c r="F104" s="61"/>
      <c r="G104" s="61"/>
      <c r="H104" s="61"/>
      <c r="I104" s="61"/>
      <c r="J104" s="61"/>
      <c r="K104" s="61"/>
      <c r="L104" s="61"/>
      <c r="M104" s="67"/>
      <c r="N104" s="67"/>
      <c r="O104" s="61"/>
      <c r="P104" s="61"/>
      <c r="Q104" s="61"/>
      <c r="R104" s="61"/>
      <c r="S104" s="61"/>
    </row>
    <row r="105" spans="3:19" ht="12.75">
      <c r="C105" s="66"/>
      <c r="D105" s="66"/>
      <c r="F105" s="61"/>
      <c r="G105" s="61"/>
      <c r="H105" s="61"/>
      <c r="I105" s="61"/>
      <c r="J105" s="61"/>
      <c r="K105" s="61"/>
      <c r="L105" s="61"/>
      <c r="M105" s="67"/>
      <c r="N105" s="67"/>
      <c r="O105" s="61"/>
      <c r="P105" s="61"/>
      <c r="Q105" s="61"/>
      <c r="R105" s="61"/>
      <c r="S105" s="61"/>
    </row>
    <row r="106" spans="3:19" ht="12.75">
      <c r="C106" s="66"/>
      <c r="D106" s="66"/>
      <c r="F106" s="61"/>
      <c r="G106" s="61"/>
      <c r="H106" s="61"/>
      <c r="I106" s="61"/>
      <c r="J106" s="61"/>
      <c r="K106" s="61"/>
      <c r="L106" s="61"/>
      <c r="M106" s="67"/>
      <c r="N106" s="67"/>
      <c r="O106" s="61"/>
      <c r="P106" s="61"/>
      <c r="Q106" s="61"/>
      <c r="R106" s="61"/>
      <c r="S106" s="61"/>
    </row>
    <row r="107" spans="3:19" ht="12.75">
      <c r="C107" s="66"/>
      <c r="D107" s="66"/>
      <c r="F107" s="61"/>
      <c r="G107" s="61"/>
      <c r="H107" s="61"/>
      <c r="I107" s="61"/>
      <c r="J107" s="61"/>
      <c r="K107" s="61"/>
      <c r="L107" s="61"/>
      <c r="M107" s="67"/>
      <c r="N107" s="67"/>
      <c r="O107" s="61"/>
      <c r="P107" s="61"/>
      <c r="Q107" s="61"/>
      <c r="R107" s="61"/>
      <c r="S107" s="61"/>
    </row>
    <row r="108" spans="3:19" ht="12.75">
      <c r="C108" s="66"/>
      <c r="D108" s="66"/>
      <c r="F108" s="61"/>
      <c r="G108" s="61"/>
      <c r="H108" s="61"/>
      <c r="I108" s="61"/>
      <c r="J108" s="61"/>
      <c r="K108" s="61"/>
      <c r="L108" s="61"/>
      <c r="M108" s="67"/>
      <c r="N108" s="67"/>
      <c r="O108" s="61"/>
      <c r="P108" s="61"/>
      <c r="Q108" s="61"/>
      <c r="R108" s="61"/>
      <c r="S108" s="61"/>
    </row>
    <row r="109" spans="3:19" ht="12.75">
      <c r="C109" s="66"/>
      <c r="D109" s="66"/>
      <c r="F109" s="61"/>
      <c r="G109" s="61"/>
      <c r="H109" s="61"/>
      <c r="I109" s="61"/>
      <c r="J109" s="61"/>
      <c r="K109" s="61"/>
      <c r="L109" s="61"/>
      <c r="M109" s="67"/>
      <c r="N109" s="67"/>
      <c r="O109" s="61"/>
      <c r="P109" s="61"/>
      <c r="Q109" s="61"/>
      <c r="R109" s="61"/>
      <c r="S109" s="61"/>
    </row>
    <row r="110" spans="3:19" ht="12.75">
      <c r="C110" s="66"/>
      <c r="D110" s="66"/>
      <c r="F110" s="61"/>
      <c r="G110" s="61"/>
      <c r="H110" s="61"/>
      <c r="I110" s="61"/>
      <c r="J110" s="61"/>
      <c r="K110" s="61"/>
      <c r="L110" s="61"/>
      <c r="M110" s="67"/>
      <c r="N110" s="67"/>
      <c r="O110" s="61"/>
      <c r="P110" s="61"/>
      <c r="Q110" s="61"/>
      <c r="R110" s="61"/>
      <c r="S110" s="61"/>
    </row>
    <row r="111" spans="3:19" ht="12.75">
      <c r="C111" s="66"/>
      <c r="D111" s="66"/>
      <c r="F111" s="61"/>
      <c r="G111" s="61"/>
      <c r="H111" s="61"/>
      <c r="I111" s="61"/>
      <c r="J111" s="61"/>
      <c r="K111" s="61"/>
      <c r="L111" s="61"/>
      <c r="M111" s="67"/>
      <c r="N111" s="67"/>
      <c r="O111" s="61"/>
      <c r="P111" s="61"/>
      <c r="Q111" s="61"/>
      <c r="R111" s="61"/>
      <c r="S111" s="61"/>
    </row>
    <row r="112" spans="3:19" ht="12.75">
      <c r="C112" s="66"/>
      <c r="D112" s="66"/>
      <c r="F112" s="61"/>
      <c r="G112" s="61"/>
      <c r="H112" s="61"/>
      <c r="I112" s="61"/>
      <c r="J112" s="61"/>
      <c r="K112" s="61"/>
      <c r="L112" s="61"/>
      <c r="M112" s="67"/>
      <c r="N112" s="67"/>
      <c r="O112" s="61"/>
      <c r="P112" s="61"/>
      <c r="Q112" s="61"/>
      <c r="R112" s="61"/>
      <c r="S112" s="61"/>
    </row>
    <row r="113" spans="3:19" ht="12.75">
      <c r="C113" s="66"/>
      <c r="D113" s="66"/>
      <c r="F113" s="61"/>
      <c r="G113" s="61"/>
      <c r="H113" s="61"/>
      <c r="I113" s="61"/>
      <c r="J113" s="61"/>
      <c r="K113" s="61"/>
      <c r="L113" s="61"/>
      <c r="M113" s="67"/>
      <c r="N113" s="67"/>
      <c r="O113" s="61"/>
      <c r="P113" s="61"/>
      <c r="Q113" s="61"/>
      <c r="R113" s="61"/>
      <c r="S113" s="61"/>
    </row>
    <row r="114" spans="3:19" ht="12.75">
      <c r="C114" s="66"/>
      <c r="D114" s="66"/>
      <c r="F114" s="61"/>
      <c r="G114" s="61"/>
      <c r="H114" s="61"/>
      <c r="I114" s="61"/>
      <c r="J114" s="61"/>
      <c r="K114" s="61"/>
      <c r="L114" s="61"/>
      <c r="M114" s="67"/>
      <c r="N114" s="67"/>
      <c r="O114" s="61"/>
      <c r="P114" s="61"/>
      <c r="Q114" s="61"/>
      <c r="R114" s="61"/>
      <c r="S114" s="61"/>
    </row>
    <row r="115" spans="3:19" ht="12.75">
      <c r="C115" s="66"/>
      <c r="D115" s="66"/>
      <c r="F115" s="61"/>
      <c r="G115" s="61"/>
      <c r="H115" s="61"/>
      <c r="I115" s="61"/>
      <c r="J115" s="61"/>
      <c r="K115" s="61"/>
      <c r="L115" s="61"/>
      <c r="M115" s="67"/>
      <c r="N115" s="67"/>
      <c r="O115" s="61"/>
      <c r="P115" s="61"/>
      <c r="Q115" s="61"/>
      <c r="R115" s="61"/>
      <c r="S115" s="61"/>
    </row>
    <row r="116" spans="3:19" ht="12.75">
      <c r="C116" s="66"/>
      <c r="D116" s="66"/>
      <c r="F116" s="61"/>
      <c r="G116" s="61"/>
      <c r="H116" s="61"/>
      <c r="I116" s="61"/>
      <c r="J116" s="61"/>
      <c r="K116" s="61"/>
      <c r="L116" s="61"/>
      <c r="M116" s="67"/>
      <c r="N116" s="67"/>
      <c r="O116" s="61"/>
      <c r="P116" s="61"/>
      <c r="Q116" s="61"/>
      <c r="R116" s="61"/>
      <c r="S116" s="61"/>
    </row>
    <row r="117" spans="3:19" ht="12.75">
      <c r="C117" s="66"/>
      <c r="D117" s="66"/>
      <c r="F117" s="61"/>
      <c r="G117" s="61"/>
      <c r="H117" s="61"/>
      <c r="I117" s="61"/>
      <c r="J117" s="61"/>
      <c r="K117" s="61"/>
      <c r="L117" s="61"/>
      <c r="M117" s="67"/>
      <c r="N117" s="67"/>
      <c r="O117" s="61"/>
      <c r="P117" s="61"/>
      <c r="Q117" s="61"/>
      <c r="R117" s="61"/>
      <c r="S117" s="61"/>
    </row>
    <row r="118" spans="3:19" ht="12.75">
      <c r="C118" s="66"/>
      <c r="D118" s="66"/>
      <c r="F118" s="61"/>
      <c r="G118" s="61"/>
      <c r="H118" s="61"/>
      <c r="I118" s="61"/>
      <c r="J118" s="61"/>
      <c r="K118" s="61"/>
      <c r="L118" s="61"/>
      <c r="M118" s="67"/>
      <c r="N118" s="67"/>
      <c r="O118" s="61"/>
      <c r="P118" s="61"/>
      <c r="Q118" s="61"/>
      <c r="R118" s="61"/>
      <c r="S118" s="61"/>
    </row>
    <row r="119" spans="3:19" ht="12.75">
      <c r="C119" s="66"/>
      <c r="D119" s="66"/>
      <c r="F119" s="61"/>
      <c r="G119" s="61"/>
      <c r="H119" s="61"/>
      <c r="I119" s="61"/>
      <c r="J119" s="61"/>
      <c r="K119" s="61"/>
      <c r="L119" s="61"/>
      <c r="M119" s="67"/>
      <c r="N119" s="67"/>
      <c r="O119" s="61"/>
      <c r="P119" s="61"/>
      <c r="Q119" s="61"/>
      <c r="R119" s="61"/>
      <c r="S119" s="61"/>
    </row>
    <row r="120" spans="3:19" ht="12.75">
      <c r="C120" s="66"/>
      <c r="D120" s="66"/>
      <c r="F120" s="61"/>
      <c r="G120" s="61"/>
      <c r="H120" s="61"/>
      <c r="I120" s="61"/>
      <c r="J120" s="61"/>
      <c r="K120" s="61"/>
      <c r="L120" s="61"/>
      <c r="M120" s="67"/>
      <c r="N120" s="67"/>
      <c r="O120" s="61"/>
      <c r="P120" s="61"/>
      <c r="Q120" s="61"/>
      <c r="R120" s="61"/>
      <c r="S120" s="61"/>
    </row>
    <row r="121" spans="3:19" ht="12.75">
      <c r="C121" s="66"/>
      <c r="D121" s="66"/>
      <c r="F121" s="61"/>
      <c r="G121" s="61"/>
      <c r="H121" s="61"/>
      <c r="I121" s="61"/>
      <c r="J121" s="61"/>
      <c r="K121" s="61"/>
      <c r="L121" s="61"/>
      <c r="M121" s="67"/>
      <c r="N121" s="67"/>
      <c r="O121" s="61"/>
      <c r="P121" s="61"/>
      <c r="Q121" s="61"/>
      <c r="R121" s="61"/>
      <c r="S121" s="61"/>
    </row>
    <row r="122" spans="3:19" ht="12.75">
      <c r="C122" s="66"/>
      <c r="D122" s="66"/>
      <c r="F122" s="61"/>
      <c r="G122" s="61"/>
      <c r="H122" s="61"/>
      <c r="I122" s="61"/>
      <c r="J122" s="61"/>
      <c r="K122" s="61"/>
      <c r="L122" s="61"/>
      <c r="M122" s="67"/>
      <c r="N122" s="67"/>
      <c r="O122" s="61"/>
      <c r="P122" s="61"/>
      <c r="Q122" s="61"/>
      <c r="R122" s="61"/>
      <c r="S122" s="61"/>
    </row>
    <row r="123" spans="3:19" ht="12.75">
      <c r="C123" s="66"/>
      <c r="D123" s="66"/>
      <c r="F123" s="61"/>
      <c r="G123" s="61"/>
      <c r="H123" s="61"/>
      <c r="I123" s="61"/>
      <c r="J123" s="61"/>
      <c r="K123" s="61"/>
      <c r="L123" s="61"/>
      <c r="M123" s="67"/>
      <c r="N123" s="67"/>
      <c r="O123" s="61"/>
      <c r="P123" s="61"/>
      <c r="Q123" s="61"/>
      <c r="R123" s="61"/>
      <c r="S123" s="61"/>
    </row>
    <row r="124" spans="3:19" ht="12.75">
      <c r="C124" s="66"/>
      <c r="D124" s="66"/>
      <c r="F124" s="61"/>
      <c r="G124" s="61"/>
      <c r="H124" s="61"/>
      <c r="I124" s="61"/>
      <c r="J124" s="61"/>
      <c r="K124" s="61"/>
      <c r="L124" s="61"/>
      <c r="M124" s="67"/>
      <c r="N124" s="67"/>
      <c r="O124" s="61"/>
      <c r="P124" s="61"/>
      <c r="Q124" s="61"/>
      <c r="R124" s="61"/>
      <c r="S124" s="61"/>
    </row>
    <row r="125" spans="3:19" ht="12.75">
      <c r="C125" s="66"/>
      <c r="D125" s="66"/>
      <c r="F125" s="61"/>
      <c r="G125" s="61"/>
      <c r="H125" s="61"/>
      <c r="I125" s="61"/>
      <c r="J125" s="61"/>
      <c r="K125" s="61"/>
      <c r="L125" s="61"/>
      <c r="M125" s="67"/>
      <c r="N125" s="67"/>
      <c r="O125" s="61"/>
      <c r="P125" s="61"/>
      <c r="Q125" s="61"/>
      <c r="R125" s="61"/>
      <c r="S125" s="61"/>
    </row>
    <row r="126" spans="3:19" ht="12.75">
      <c r="C126" s="66"/>
      <c r="D126" s="66"/>
      <c r="F126" s="61"/>
      <c r="G126" s="61"/>
      <c r="H126" s="61"/>
      <c r="I126" s="61"/>
      <c r="J126" s="61"/>
      <c r="K126" s="61"/>
      <c r="L126" s="61"/>
      <c r="M126" s="67"/>
      <c r="N126" s="67"/>
      <c r="O126" s="61"/>
      <c r="P126" s="61"/>
      <c r="Q126" s="61"/>
      <c r="R126" s="61"/>
      <c r="S126" s="61"/>
    </row>
    <row r="127" spans="3:19" ht="12.75">
      <c r="C127" s="66"/>
      <c r="D127" s="66"/>
      <c r="F127" s="61"/>
      <c r="G127" s="61"/>
      <c r="H127" s="61"/>
      <c r="I127" s="61"/>
      <c r="J127" s="61"/>
      <c r="K127" s="61"/>
      <c r="L127" s="61"/>
      <c r="M127" s="67"/>
      <c r="N127" s="67"/>
      <c r="O127" s="61"/>
      <c r="P127" s="61"/>
      <c r="Q127" s="61"/>
      <c r="R127" s="61"/>
      <c r="S127" s="61"/>
    </row>
    <row r="128" spans="3:19" ht="12.75">
      <c r="C128" s="66"/>
      <c r="D128" s="66"/>
      <c r="F128" s="61"/>
      <c r="G128" s="61"/>
      <c r="H128" s="61"/>
      <c r="I128" s="61"/>
      <c r="J128" s="61"/>
      <c r="K128" s="61"/>
      <c r="L128" s="61"/>
      <c r="M128" s="67"/>
      <c r="N128" s="67"/>
      <c r="O128" s="61"/>
      <c r="P128" s="61"/>
      <c r="Q128" s="61"/>
      <c r="R128" s="61"/>
      <c r="S128" s="61"/>
    </row>
    <row r="129" spans="3:19" ht="12.75">
      <c r="C129" s="66"/>
      <c r="D129" s="66"/>
      <c r="F129" s="61"/>
      <c r="G129" s="61"/>
      <c r="H129" s="61"/>
      <c r="I129" s="61"/>
      <c r="J129" s="61"/>
      <c r="K129" s="61"/>
      <c r="L129" s="61"/>
      <c r="M129" s="67"/>
      <c r="N129" s="67"/>
      <c r="O129" s="61"/>
      <c r="P129" s="61"/>
      <c r="Q129" s="61"/>
      <c r="R129" s="61"/>
      <c r="S129" s="61"/>
    </row>
    <row r="130" spans="3:19" ht="12.75">
      <c r="C130" s="66"/>
      <c r="D130" s="66"/>
      <c r="F130" s="61"/>
      <c r="G130" s="61"/>
      <c r="H130" s="61"/>
      <c r="I130" s="61"/>
      <c r="J130" s="61"/>
      <c r="K130" s="61"/>
      <c r="L130" s="61"/>
      <c r="M130" s="67"/>
      <c r="N130" s="67"/>
      <c r="O130" s="61"/>
      <c r="P130" s="61"/>
      <c r="Q130" s="61"/>
      <c r="R130" s="61"/>
      <c r="S130" s="61"/>
    </row>
    <row r="131" spans="3:19" ht="12.75">
      <c r="C131" s="66"/>
      <c r="D131" s="66"/>
      <c r="F131" s="61"/>
      <c r="G131" s="61"/>
      <c r="H131" s="61"/>
      <c r="I131" s="61"/>
      <c r="J131" s="61"/>
      <c r="K131" s="61"/>
      <c r="L131" s="61"/>
      <c r="M131" s="67"/>
      <c r="N131" s="67"/>
      <c r="O131" s="61"/>
      <c r="P131" s="61"/>
      <c r="Q131" s="61"/>
      <c r="R131" s="61"/>
      <c r="S131" s="61"/>
    </row>
    <row r="132" spans="3:19" ht="12.75">
      <c r="C132" s="66"/>
      <c r="D132" s="66"/>
      <c r="F132" s="61"/>
      <c r="G132" s="61"/>
      <c r="H132" s="61"/>
      <c r="I132" s="61"/>
      <c r="J132" s="61"/>
      <c r="K132" s="61"/>
      <c r="L132" s="61"/>
      <c r="M132" s="67"/>
      <c r="N132" s="67"/>
      <c r="O132" s="61"/>
      <c r="P132" s="61"/>
      <c r="Q132" s="61"/>
      <c r="R132" s="61"/>
      <c r="S132" s="61"/>
    </row>
    <row r="133" spans="3:19" ht="12.75">
      <c r="C133" s="66"/>
      <c r="D133" s="66"/>
      <c r="F133" s="61"/>
      <c r="G133" s="61"/>
      <c r="H133" s="61"/>
      <c r="I133" s="61"/>
      <c r="J133" s="61"/>
      <c r="K133" s="61"/>
      <c r="L133" s="61"/>
      <c r="M133" s="67"/>
      <c r="N133" s="67"/>
      <c r="O133" s="61"/>
      <c r="P133" s="61"/>
      <c r="Q133" s="61"/>
      <c r="R133" s="61"/>
      <c r="S133" s="61"/>
    </row>
    <row r="134" spans="3:19" ht="12.75">
      <c r="C134" s="66"/>
      <c r="D134" s="66"/>
      <c r="F134" s="61"/>
      <c r="G134" s="61"/>
      <c r="H134" s="61"/>
      <c r="I134" s="61"/>
      <c r="J134" s="61"/>
      <c r="K134" s="61"/>
      <c r="L134" s="61"/>
      <c r="M134" s="67"/>
      <c r="N134" s="67"/>
      <c r="O134" s="61"/>
      <c r="P134" s="61"/>
      <c r="Q134" s="61"/>
      <c r="R134" s="61"/>
      <c r="S134" s="61"/>
    </row>
    <row r="135" spans="3:19" ht="12.75">
      <c r="C135" s="66"/>
      <c r="D135" s="66"/>
      <c r="F135" s="61"/>
      <c r="G135" s="61"/>
      <c r="H135" s="61"/>
      <c r="I135" s="61"/>
      <c r="J135" s="61"/>
      <c r="K135" s="61"/>
      <c r="L135" s="61"/>
      <c r="M135" s="67"/>
      <c r="N135" s="67"/>
      <c r="O135" s="61"/>
      <c r="P135" s="61"/>
      <c r="Q135" s="61"/>
      <c r="R135" s="61"/>
      <c r="S135" s="61"/>
    </row>
    <row r="136" spans="3:19" ht="12.75">
      <c r="C136" s="66"/>
      <c r="D136" s="66"/>
      <c r="F136" s="61"/>
      <c r="G136" s="61"/>
      <c r="H136" s="61"/>
      <c r="I136" s="61"/>
      <c r="J136" s="61"/>
      <c r="K136" s="61"/>
      <c r="L136" s="61"/>
      <c r="M136" s="67"/>
      <c r="N136" s="67"/>
      <c r="O136" s="61"/>
      <c r="P136" s="61"/>
      <c r="Q136" s="61"/>
      <c r="R136" s="61"/>
      <c r="S136" s="61"/>
    </row>
    <row r="137" spans="3:19" ht="12.75">
      <c r="C137" s="66"/>
      <c r="D137" s="66"/>
      <c r="F137" s="61"/>
      <c r="G137" s="61"/>
      <c r="H137" s="61"/>
      <c r="I137" s="61"/>
      <c r="J137" s="61"/>
      <c r="K137" s="61"/>
      <c r="L137" s="61"/>
      <c r="M137" s="67"/>
      <c r="N137" s="67"/>
      <c r="O137" s="61"/>
      <c r="P137" s="61"/>
      <c r="Q137" s="61"/>
      <c r="R137" s="61"/>
      <c r="S137" s="61"/>
    </row>
    <row r="138" spans="3:19" ht="12.75">
      <c r="C138" s="66"/>
      <c r="D138" s="66"/>
      <c r="F138" s="61"/>
      <c r="G138" s="61"/>
      <c r="H138" s="61"/>
      <c r="I138" s="61"/>
      <c r="J138" s="61"/>
      <c r="K138" s="61"/>
      <c r="L138" s="61"/>
      <c r="M138" s="67"/>
      <c r="N138" s="67"/>
      <c r="O138" s="61"/>
      <c r="P138" s="61"/>
      <c r="Q138" s="61"/>
      <c r="R138" s="61"/>
      <c r="S138" s="61"/>
    </row>
    <row r="139" spans="3:19" ht="12.75">
      <c r="C139" s="66"/>
      <c r="D139" s="66"/>
      <c r="F139" s="61"/>
      <c r="G139" s="61"/>
      <c r="H139" s="61"/>
      <c r="I139" s="61"/>
      <c r="J139" s="61"/>
      <c r="K139" s="61"/>
      <c r="L139" s="61"/>
      <c r="M139" s="67"/>
      <c r="N139" s="67"/>
      <c r="O139" s="61"/>
      <c r="P139" s="61"/>
      <c r="Q139" s="61"/>
      <c r="R139" s="61"/>
      <c r="S139" s="61"/>
    </row>
    <row r="140" spans="3:19" ht="12.75">
      <c r="C140" s="66"/>
      <c r="D140" s="66"/>
      <c r="F140" s="61"/>
      <c r="G140" s="61"/>
      <c r="H140" s="61"/>
      <c r="I140" s="61"/>
      <c r="J140" s="61"/>
      <c r="K140" s="61"/>
      <c r="L140" s="61"/>
      <c r="M140" s="67"/>
      <c r="N140" s="67"/>
      <c r="O140" s="61"/>
      <c r="P140" s="61"/>
      <c r="Q140" s="61"/>
      <c r="R140" s="61"/>
      <c r="S140" s="61"/>
    </row>
    <row r="141" spans="3:19" ht="12.75">
      <c r="C141" s="66"/>
      <c r="D141" s="66"/>
      <c r="F141" s="61"/>
      <c r="G141" s="61"/>
      <c r="H141" s="61"/>
      <c r="I141" s="61"/>
      <c r="J141" s="61"/>
      <c r="K141" s="61"/>
      <c r="L141" s="61"/>
      <c r="M141" s="67"/>
      <c r="N141" s="67"/>
      <c r="O141" s="61"/>
      <c r="P141" s="61"/>
      <c r="Q141" s="61"/>
      <c r="R141" s="61"/>
      <c r="S141" s="61"/>
    </row>
    <row r="142" spans="3:19" ht="12.75">
      <c r="C142" s="66"/>
      <c r="D142" s="66"/>
      <c r="F142" s="61"/>
      <c r="G142" s="61"/>
      <c r="H142" s="61"/>
      <c r="I142" s="61"/>
      <c r="J142" s="61"/>
      <c r="K142" s="61"/>
      <c r="L142" s="61"/>
      <c r="M142" s="67"/>
      <c r="N142" s="67"/>
      <c r="O142" s="61"/>
      <c r="P142" s="61"/>
      <c r="Q142" s="61"/>
      <c r="R142" s="61"/>
      <c r="S142" s="61"/>
    </row>
    <row r="143" spans="3:19" ht="12.75">
      <c r="C143" s="66"/>
      <c r="D143" s="66"/>
      <c r="F143" s="61"/>
      <c r="G143" s="61"/>
      <c r="H143" s="61"/>
      <c r="I143" s="61"/>
      <c r="J143" s="61"/>
      <c r="K143" s="61"/>
      <c r="L143" s="61"/>
      <c r="M143" s="67"/>
      <c r="N143" s="67"/>
      <c r="O143" s="61"/>
      <c r="P143" s="61"/>
      <c r="Q143" s="61"/>
      <c r="R143" s="61"/>
      <c r="S143" s="61"/>
    </row>
    <row r="144" spans="3:19" ht="12.75">
      <c r="C144" s="66"/>
      <c r="D144" s="66"/>
      <c r="F144" s="61"/>
      <c r="G144" s="61"/>
      <c r="H144" s="61"/>
      <c r="I144" s="61"/>
      <c r="J144" s="61"/>
      <c r="K144" s="61"/>
      <c r="L144" s="61"/>
      <c r="M144" s="67"/>
      <c r="N144" s="67"/>
      <c r="O144" s="61"/>
      <c r="P144" s="61"/>
      <c r="Q144" s="61"/>
      <c r="R144" s="61"/>
      <c r="S144" s="61"/>
    </row>
    <row r="145" spans="3:19" ht="12.75">
      <c r="C145" s="66"/>
      <c r="D145" s="66"/>
      <c r="F145" s="61"/>
      <c r="G145" s="61"/>
      <c r="H145" s="61"/>
      <c r="I145" s="61"/>
      <c r="J145" s="61"/>
      <c r="K145" s="61"/>
      <c r="L145" s="61"/>
      <c r="M145" s="67"/>
      <c r="N145" s="67"/>
      <c r="O145" s="61"/>
      <c r="P145" s="61"/>
      <c r="Q145" s="61"/>
      <c r="R145" s="61"/>
      <c r="S145" s="61"/>
    </row>
    <row r="146" spans="3:19" ht="12.75">
      <c r="C146" s="66"/>
      <c r="D146" s="66"/>
      <c r="F146" s="61"/>
      <c r="G146" s="61"/>
      <c r="H146" s="61"/>
      <c r="I146" s="61"/>
      <c r="J146" s="61"/>
      <c r="K146" s="61"/>
      <c r="L146" s="61"/>
      <c r="M146" s="67"/>
      <c r="N146" s="67"/>
      <c r="O146" s="61"/>
      <c r="P146" s="61"/>
      <c r="Q146" s="61"/>
      <c r="R146" s="61"/>
      <c r="S146" s="61"/>
    </row>
    <row r="147" spans="3:19" ht="12.75">
      <c r="C147" s="66"/>
      <c r="D147" s="66"/>
      <c r="F147" s="61"/>
      <c r="G147" s="61"/>
      <c r="H147" s="61"/>
      <c r="I147" s="61"/>
      <c r="J147" s="61"/>
      <c r="K147" s="61"/>
      <c r="L147" s="61"/>
      <c r="M147" s="67"/>
      <c r="N147" s="67"/>
      <c r="O147" s="61"/>
      <c r="P147" s="61"/>
      <c r="Q147" s="61"/>
      <c r="R147" s="61"/>
      <c r="S147" s="61"/>
    </row>
    <row r="148" spans="3:19" ht="12.75">
      <c r="C148" s="66"/>
      <c r="D148" s="66"/>
      <c r="F148" s="61"/>
      <c r="G148" s="61"/>
      <c r="H148" s="61"/>
      <c r="I148" s="61"/>
      <c r="J148" s="61"/>
      <c r="K148" s="61"/>
      <c r="L148" s="61"/>
      <c r="M148" s="67"/>
      <c r="N148" s="67"/>
      <c r="O148" s="61"/>
      <c r="P148" s="61"/>
      <c r="Q148" s="61"/>
      <c r="R148" s="61"/>
      <c r="S148" s="61"/>
    </row>
    <row r="149" spans="3:19" ht="12.75">
      <c r="C149" s="66"/>
      <c r="D149" s="66"/>
      <c r="F149" s="61"/>
      <c r="G149" s="61"/>
      <c r="H149" s="61"/>
      <c r="I149" s="61"/>
      <c r="J149" s="61"/>
      <c r="K149" s="61"/>
      <c r="L149" s="61"/>
      <c r="M149" s="67"/>
      <c r="N149" s="67"/>
      <c r="O149" s="61"/>
      <c r="P149" s="61"/>
      <c r="Q149" s="61"/>
      <c r="R149" s="61"/>
      <c r="S149" s="61"/>
    </row>
    <row r="150" spans="3:19" ht="12.75">
      <c r="C150" s="66"/>
      <c r="D150" s="66"/>
      <c r="F150" s="61"/>
      <c r="G150" s="61"/>
      <c r="H150" s="61"/>
      <c r="I150" s="61"/>
      <c r="J150" s="61"/>
      <c r="K150" s="61"/>
      <c r="L150" s="61"/>
      <c r="M150" s="67"/>
      <c r="N150" s="67"/>
      <c r="O150" s="61"/>
      <c r="P150" s="61"/>
      <c r="Q150" s="61"/>
      <c r="R150" s="61"/>
      <c r="S150" s="61"/>
    </row>
    <row r="151" spans="3:19" ht="12.75">
      <c r="C151" s="66"/>
      <c r="D151" s="66"/>
      <c r="F151" s="61"/>
      <c r="G151" s="61"/>
      <c r="H151" s="61"/>
      <c r="I151" s="61"/>
      <c r="J151" s="61"/>
      <c r="K151" s="61"/>
      <c r="L151" s="61"/>
      <c r="M151" s="67"/>
      <c r="N151" s="67"/>
      <c r="O151" s="61"/>
      <c r="P151" s="61"/>
      <c r="Q151" s="61"/>
      <c r="R151" s="61"/>
      <c r="S151" s="61"/>
    </row>
    <row r="152" spans="3:19" ht="12.75">
      <c r="C152" s="66"/>
      <c r="D152" s="66"/>
      <c r="F152" s="61"/>
      <c r="G152" s="61"/>
      <c r="H152" s="61"/>
      <c r="I152" s="61"/>
      <c r="J152" s="61"/>
      <c r="K152" s="61"/>
      <c r="L152" s="61"/>
      <c r="M152" s="67"/>
      <c r="N152" s="67"/>
      <c r="O152" s="61"/>
      <c r="P152" s="61"/>
      <c r="Q152" s="61"/>
      <c r="R152" s="61"/>
      <c r="S152" s="61"/>
    </row>
    <row r="153" spans="3:19" ht="12.75">
      <c r="C153" s="66"/>
      <c r="D153" s="66"/>
      <c r="F153" s="61"/>
      <c r="G153" s="61"/>
      <c r="H153" s="61"/>
      <c r="I153" s="61"/>
      <c r="J153" s="61"/>
      <c r="K153" s="61"/>
      <c r="L153" s="61"/>
      <c r="M153" s="67"/>
      <c r="N153" s="67"/>
      <c r="O153" s="61"/>
      <c r="P153" s="61"/>
      <c r="Q153" s="61"/>
      <c r="R153" s="61"/>
      <c r="S153" s="61"/>
    </row>
    <row r="154" spans="3:19" ht="12.75">
      <c r="C154" s="66"/>
      <c r="D154" s="66"/>
      <c r="F154" s="61"/>
      <c r="G154" s="61"/>
      <c r="H154" s="61"/>
      <c r="I154" s="61"/>
      <c r="J154" s="61"/>
      <c r="K154" s="61"/>
      <c r="L154" s="61"/>
      <c r="M154" s="67"/>
      <c r="N154" s="67"/>
      <c r="O154" s="61"/>
      <c r="P154" s="61"/>
      <c r="Q154" s="61"/>
      <c r="R154" s="61"/>
      <c r="S154" s="61"/>
    </row>
    <row r="155" spans="3:19" ht="12.75">
      <c r="C155" s="66"/>
      <c r="D155" s="66"/>
      <c r="F155" s="61"/>
      <c r="G155" s="61"/>
      <c r="H155" s="61"/>
      <c r="I155" s="61"/>
      <c r="J155" s="61"/>
      <c r="K155" s="61"/>
      <c r="L155" s="61"/>
      <c r="M155" s="67"/>
      <c r="N155" s="67"/>
      <c r="O155" s="61"/>
      <c r="P155" s="61"/>
      <c r="Q155" s="61"/>
      <c r="R155" s="61"/>
      <c r="S155" s="61"/>
    </row>
    <row r="156" spans="3:19" ht="12.75">
      <c r="C156" s="66"/>
      <c r="D156" s="66"/>
      <c r="F156" s="61"/>
      <c r="G156" s="61"/>
      <c r="H156" s="61"/>
      <c r="I156" s="61"/>
      <c r="J156" s="61"/>
      <c r="K156" s="61"/>
      <c r="L156" s="61"/>
      <c r="M156" s="67"/>
      <c r="N156" s="67"/>
      <c r="O156" s="61"/>
      <c r="P156" s="61"/>
      <c r="Q156" s="61"/>
      <c r="R156" s="61"/>
      <c r="S156" s="61"/>
    </row>
    <row r="157" spans="3:19" ht="12.75">
      <c r="C157" s="66"/>
      <c r="D157" s="66"/>
      <c r="F157" s="61"/>
      <c r="G157" s="61"/>
      <c r="H157" s="61"/>
      <c r="I157" s="61"/>
      <c r="J157" s="61"/>
      <c r="K157" s="61"/>
      <c r="L157" s="61"/>
      <c r="M157" s="67"/>
      <c r="N157" s="67"/>
      <c r="O157" s="61"/>
      <c r="P157" s="61"/>
      <c r="Q157" s="61"/>
      <c r="R157" s="61"/>
      <c r="S157" s="61"/>
    </row>
    <row r="158" spans="3:19" ht="12.75">
      <c r="C158" s="66"/>
      <c r="D158" s="66"/>
      <c r="F158" s="61"/>
      <c r="G158" s="61"/>
      <c r="H158" s="61"/>
      <c r="I158" s="61"/>
      <c r="J158" s="61"/>
      <c r="K158" s="61"/>
      <c r="L158" s="61"/>
      <c r="M158" s="67"/>
      <c r="N158" s="67"/>
      <c r="O158" s="61"/>
      <c r="P158" s="61"/>
      <c r="Q158" s="61"/>
      <c r="R158" s="61"/>
      <c r="S158" s="61"/>
    </row>
    <row r="159" spans="3:19" ht="12.75">
      <c r="C159" s="66"/>
      <c r="D159" s="66"/>
      <c r="F159" s="61"/>
      <c r="G159" s="61"/>
      <c r="H159" s="61"/>
      <c r="I159" s="61"/>
      <c r="J159" s="61"/>
      <c r="K159" s="61"/>
      <c r="L159" s="61"/>
      <c r="M159" s="67"/>
      <c r="N159" s="67"/>
      <c r="O159" s="61"/>
      <c r="P159" s="61"/>
      <c r="Q159" s="61"/>
      <c r="R159" s="61"/>
      <c r="S159" s="61"/>
    </row>
    <row r="160" spans="3:19" ht="12.75">
      <c r="C160" s="66"/>
      <c r="D160" s="66"/>
      <c r="F160" s="61"/>
      <c r="G160" s="61"/>
      <c r="H160" s="61"/>
      <c r="I160" s="61"/>
      <c r="J160" s="61"/>
      <c r="K160" s="61"/>
      <c r="L160" s="61"/>
      <c r="M160" s="67"/>
      <c r="N160" s="67"/>
      <c r="O160" s="61"/>
      <c r="P160" s="61"/>
      <c r="Q160" s="61"/>
      <c r="R160" s="61"/>
      <c r="S160" s="61"/>
    </row>
    <row r="161" spans="3:19" ht="12.75">
      <c r="C161" s="66"/>
      <c r="D161" s="66"/>
      <c r="F161" s="61"/>
      <c r="G161" s="61"/>
      <c r="H161" s="61"/>
      <c r="I161" s="61"/>
      <c r="J161" s="61"/>
      <c r="K161" s="61"/>
      <c r="L161" s="61"/>
      <c r="M161" s="67"/>
      <c r="N161" s="67"/>
      <c r="O161" s="61"/>
      <c r="P161" s="61"/>
      <c r="Q161" s="61"/>
      <c r="R161" s="61"/>
      <c r="S161" s="61"/>
    </row>
    <row r="162" spans="3:19" ht="12.75">
      <c r="C162" s="66"/>
      <c r="D162" s="66"/>
      <c r="F162" s="61"/>
      <c r="G162" s="61"/>
      <c r="H162" s="61"/>
      <c r="I162" s="61"/>
      <c r="J162" s="61"/>
      <c r="K162" s="61"/>
      <c r="L162" s="61"/>
      <c r="M162" s="67"/>
      <c r="N162" s="67"/>
      <c r="O162" s="61"/>
      <c r="P162" s="61"/>
      <c r="Q162" s="61"/>
      <c r="R162" s="61"/>
      <c r="S162" s="61"/>
    </row>
    <row r="163" spans="3:19" ht="12.75">
      <c r="C163" s="66"/>
      <c r="D163" s="66"/>
      <c r="F163" s="61"/>
      <c r="G163" s="61"/>
      <c r="H163" s="61"/>
      <c r="I163" s="61"/>
      <c r="J163" s="61"/>
      <c r="K163" s="61"/>
      <c r="L163" s="61"/>
      <c r="M163" s="67"/>
      <c r="N163" s="67"/>
      <c r="O163" s="61"/>
      <c r="P163" s="61"/>
      <c r="Q163" s="61"/>
      <c r="R163" s="61"/>
      <c r="S163" s="61"/>
    </row>
    <row r="164" spans="3:19" ht="12.75">
      <c r="C164" s="66"/>
      <c r="D164" s="66"/>
      <c r="F164" s="61"/>
      <c r="G164" s="61"/>
      <c r="H164" s="61"/>
      <c r="I164" s="61"/>
      <c r="J164" s="61"/>
      <c r="K164" s="61"/>
      <c r="L164" s="61"/>
      <c r="M164" s="67"/>
      <c r="N164" s="67"/>
      <c r="O164" s="61"/>
      <c r="P164" s="61"/>
      <c r="Q164" s="61"/>
      <c r="R164" s="61"/>
      <c r="S164" s="61"/>
    </row>
    <row r="165" spans="3:19" ht="12.75">
      <c r="C165" s="66"/>
      <c r="D165" s="66"/>
      <c r="F165" s="61"/>
      <c r="G165" s="61"/>
      <c r="H165" s="61"/>
      <c r="I165" s="61"/>
      <c r="J165" s="61"/>
      <c r="K165" s="61"/>
      <c r="L165" s="61"/>
      <c r="M165" s="67"/>
      <c r="N165" s="67"/>
      <c r="O165" s="61"/>
      <c r="P165" s="61"/>
      <c r="Q165" s="61"/>
      <c r="R165" s="61"/>
      <c r="S165" s="61"/>
    </row>
    <row r="166" spans="3:19" ht="12.75">
      <c r="C166" s="66"/>
      <c r="D166" s="66"/>
      <c r="F166" s="61"/>
      <c r="G166" s="61"/>
      <c r="H166" s="61"/>
      <c r="I166" s="61"/>
      <c r="J166" s="61"/>
      <c r="K166" s="61"/>
      <c r="L166" s="61"/>
      <c r="M166" s="67"/>
      <c r="N166" s="67"/>
      <c r="O166" s="61"/>
      <c r="P166" s="61"/>
      <c r="Q166" s="61"/>
      <c r="R166" s="61"/>
      <c r="S166" s="61"/>
    </row>
    <row r="167" spans="3:19" ht="12.75">
      <c r="C167" s="66"/>
      <c r="D167" s="66"/>
      <c r="F167" s="61"/>
      <c r="G167" s="61"/>
      <c r="H167" s="61"/>
      <c r="I167" s="61"/>
      <c r="J167" s="61"/>
      <c r="K167" s="61"/>
      <c r="L167" s="61"/>
      <c r="M167" s="67"/>
      <c r="N167" s="67"/>
      <c r="O167" s="61"/>
      <c r="P167" s="61"/>
      <c r="Q167" s="61"/>
      <c r="R167" s="61"/>
      <c r="S167" s="61"/>
    </row>
    <row r="168" spans="3:19" ht="12.75">
      <c r="C168" s="66"/>
      <c r="D168" s="66"/>
      <c r="F168" s="61"/>
      <c r="G168" s="61"/>
      <c r="H168" s="61"/>
      <c r="I168" s="61"/>
      <c r="J168" s="61"/>
      <c r="K168" s="61"/>
      <c r="L168" s="61"/>
      <c r="M168" s="67"/>
      <c r="N168" s="67"/>
      <c r="O168" s="61"/>
      <c r="P168" s="61"/>
      <c r="Q168" s="61"/>
      <c r="R168" s="61"/>
      <c r="S168" s="61"/>
    </row>
    <row r="169" spans="3:19" ht="12.75">
      <c r="C169" s="66"/>
      <c r="D169" s="66"/>
      <c r="F169" s="61"/>
      <c r="G169" s="61"/>
      <c r="H169" s="61"/>
      <c r="I169" s="61"/>
      <c r="J169" s="61"/>
      <c r="K169" s="61"/>
      <c r="L169" s="61"/>
      <c r="M169" s="67"/>
      <c r="N169" s="67"/>
      <c r="O169" s="61"/>
      <c r="P169" s="61"/>
      <c r="Q169" s="61"/>
      <c r="R169" s="61"/>
      <c r="S169" s="61"/>
    </row>
    <row r="170" spans="3:19" ht="12.75">
      <c r="C170" s="66"/>
      <c r="D170" s="66"/>
      <c r="F170" s="61"/>
      <c r="G170" s="61"/>
      <c r="H170" s="61"/>
      <c r="I170" s="61"/>
      <c r="J170" s="61"/>
      <c r="K170" s="61"/>
      <c r="L170" s="61"/>
      <c r="M170" s="67"/>
      <c r="N170" s="67"/>
      <c r="O170" s="61"/>
      <c r="P170" s="61"/>
      <c r="Q170" s="61"/>
      <c r="R170" s="61"/>
      <c r="S170" s="61"/>
    </row>
    <row r="171" spans="3:19" ht="12.75">
      <c r="C171" s="66"/>
      <c r="D171" s="66"/>
      <c r="F171" s="61"/>
      <c r="G171" s="61"/>
      <c r="H171" s="61"/>
      <c r="I171" s="61"/>
      <c r="J171" s="61"/>
      <c r="K171" s="61"/>
      <c r="L171" s="61"/>
      <c r="M171" s="67"/>
      <c r="N171" s="67"/>
      <c r="O171" s="61"/>
      <c r="P171" s="61"/>
      <c r="Q171" s="61"/>
      <c r="R171" s="61"/>
      <c r="S171" s="61"/>
    </row>
    <row r="172" spans="3:19" ht="12.75">
      <c r="C172" s="66"/>
      <c r="D172" s="66"/>
      <c r="F172" s="61"/>
      <c r="G172" s="61"/>
      <c r="H172" s="61"/>
      <c r="I172" s="61"/>
      <c r="J172" s="61"/>
      <c r="K172" s="61"/>
      <c r="L172" s="61"/>
      <c r="M172" s="67"/>
      <c r="N172" s="67"/>
      <c r="O172" s="61"/>
      <c r="P172" s="61"/>
      <c r="Q172" s="61"/>
      <c r="R172" s="61"/>
      <c r="S172" s="61"/>
    </row>
    <row r="173" spans="3:19" ht="12.75">
      <c r="C173" s="66"/>
      <c r="D173" s="66"/>
      <c r="F173" s="61"/>
      <c r="G173" s="61"/>
      <c r="H173" s="61"/>
      <c r="I173" s="61"/>
      <c r="J173" s="61"/>
      <c r="K173" s="61"/>
      <c r="L173" s="61"/>
      <c r="M173" s="67"/>
      <c r="N173" s="67"/>
      <c r="O173" s="61"/>
      <c r="P173" s="61"/>
      <c r="Q173" s="61"/>
      <c r="R173" s="61"/>
      <c r="S173" s="61"/>
    </row>
    <row r="174" spans="3:19" ht="12.75">
      <c r="C174" s="66"/>
      <c r="D174" s="66"/>
      <c r="F174" s="61"/>
      <c r="G174" s="61"/>
      <c r="H174" s="61"/>
      <c r="I174" s="61"/>
      <c r="J174" s="61"/>
      <c r="K174" s="61"/>
      <c r="L174" s="61"/>
      <c r="M174" s="67"/>
      <c r="N174" s="67"/>
      <c r="O174" s="61"/>
      <c r="P174" s="61"/>
      <c r="Q174" s="61"/>
      <c r="R174" s="61"/>
      <c r="S174" s="61"/>
    </row>
    <row r="175" spans="3:19" ht="12.75">
      <c r="C175" s="66"/>
      <c r="D175" s="66"/>
      <c r="F175" s="61"/>
      <c r="G175" s="61"/>
      <c r="H175" s="61"/>
      <c r="I175" s="61"/>
      <c r="J175" s="61"/>
      <c r="K175" s="61"/>
      <c r="L175" s="61"/>
      <c r="M175" s="67"/>
      <c r="N175" s="67"/>
      <c r="O175" s="61"/>
      <c r="P175" s="61"/>
      <c r="Q175" s="61"/>
      <c r="R175" s="61"/>
      <c r="S175" s="61"/>
    </row>
    <row r="176" spans="3:19" ht="12.75">
      <c r="C176" s="66"/>
      <c r="D176" s="66"/>
      <c r="F176" s="61"/>
      <c r="G176" s="61"/>
      <c r="H176" s="61"/>
      <c r="I176" s="61"/>
      <c r="J176" s="61"/>
      <c r="K176" s="61"/>
      <c r="L176" s="61"/>
      <c r="M176" s="67"/>
      <c r="N176" s="67"/>
      <c r="O176" s="61"/>
      <c r="P176" s="61"/>
      <c r="Q176" s="61"/>
      <c r="R176" s="61"/>
      <c r="S176" s="61"/>
    </row>
    <row r="177" spans="3:19" ht="12.75">
      <c r="C177" s="66"/>
      <c r="D177" s="66"/>
      <c r="F177" s="61"/>
      <c r="G177" s="61"/>
      <c r="H177" s="61"/>
      <c r="I177" s="61"/>
      <c r="J177" s="61"/>
      <c r="K177" s="61"/>
      <c r="L177" s="61"/>
      <c r="M177" s="67"/>
      <c r="N177" s="67"/>
      <c r="O177" s="61"/>
      <c r="P177" s="61"/>
      <c r="Q177" s="61"/>
      <c r="R177" s="61"/>
      <c r="S177" s="61"/>
    </row>
    <row r="178" spans="3:19" ht="12.75">
      <c r="C178" s="66"/>
      <c r="D178" s="66"/>
      <c r="F178" s="61"/>
      <c r="G178" s="61"/>
      <c r="H178" s="61"/>
      <c r="I178" s="61"/>
      <c r="J178" s="61"/>
      <c r="K178" s="61"/>
      <c r="L178" s="61"/>
      <c r="M178" s="67"/>
      <c r="N178" s="67"/>
      <c r="O178" s="61"/>
      <c r="P178" s="61"/>
      <c r="Q178" s="61"/>
      <c r="R178" s="61"/>
      <c r="S178" s="61"/>
    </row>
    <row r="179" spans="3:19" ht="12.75">
      <c r="C179" s="66"/>
      <c r="D179" s="66"/>
      <c r="F179" s="61"/>
      <c r="G179" s="61"/>
      <c r="H179" s="61"/>
      <c r="I179" s="61"/>
      <c r="J179" s="61"/>
      <c r="K179" s="61"/>
      <c r="L179" s="61"/>
      <c r="M179" s="67"/>
      <c r="N179" s="67"/>
      <c r="O179" s="61"/>
      <c r="P179" s="61"/>
      <c r="Q179" s="61"/>
      <c r="R179" s="61"/>
      <c r="S179" s="61"/>
    </row>
    <row r="180" spans="3:19" ht="12.75">
      <c r="C180" s="66"/>
      <c r="D180" s="66"/>
      <c r="F180" s="61"/>
      <c r="G180" s="61"/>
      <c r="H180" s="61"/>
      <c r="I180" s="61"/>
      <c r="J180" s="61"/>
      <c r="K180" s="61"/>
      <c r="L180" s="61"/>
      <c r="M180" s="67"/>
      <c r="N180" s="67"/>
      <c r="O180" s="61"/>
      <c r="P180" s="61"/>
      <c r="Q180" s="61"/>
      <c r="R180" s="61"/>
      <c r="S180" s="61"/>
    </row>
    <row r="181" spans="3:19" ht="12.75">
      <c r="C181" s="66"/>
      <c r="D181" s="66"/>
      <c r="F181" s="61"/>
      <c r="G181" s="61"/>
      <c r="H181" s="61"/>
      <c r="I181" s="61"/>
      <c r="J181" s="61"/>
      <c r="K181" s="61"/>
      <c r="L181" s="61"/>
      <c r="M181" s="67"/>
      <c r="N181" s="67"/>
      <c r="O181" s="61"/>
      <c r="P181" s="61"/>
      <c r="Q181" s="61"/>
      <c r="R181" s="61"/>
      <c r="S181" s="61"/>
    </row>
    <row r="182" spans="3:19" ht="12.75">
      <c r="C182" s="66"/>
      <c r="D182" s="66"/>
      <c r="F182" s="61"/>
      <c r="G182" s="61"/>
      <c r="H182" s="61"/>
      <c r="I182" s="61"/>
      <c r="J182" s="61"/>
      <c r="K182" s="61"/>
      <c r="L182" s="61"/>
      <c r="M182" s="67"/>
      <c r="N182" s="67"/>
      <c r="O182" s="61"/>
      <c r="P182" s="61"/>
      <c r="Q182" s="61"/>
      <c r="R182" s="61"/>
      <c r="S182" s="61"/>
    </row>
    <row r="183" spans="3:19" ht="12.75">
      <c r="C183" s="66"/>
      <c r="D183" s="66"/>
      <c r="F183" s="61"/>
      <c r="G183" s="61"/>
      <c r="H183" s="61"/>
      <c r="I183" s="61"/>
      <c r="J183" s="61"/>
      <c r="K183" s="61"/>
      <c r="L183" s="61"/>
      <c r="M183" s="67"/>
      <c r="N183" s="67"/>
      <c r="O183" s="61"/>
      <c r="P183" s="61"/>
      <c r="Q183" s="61"/>
      <c r="R183" s="61"/>
      <c r="S183" s="61"/>
    </row>
    <row r="184" spans="3:19" ht="12.75">
      <c r="C184" s="66"/>
      <c r="D184" s="66"/>
      <c r="F184" s="61"/>
      <c r="G184" s="61"/>
      <c r="H184" s="61"/>
      <c r="I184" s="61"/>
      <c r="J184" s="61"/>
      <c r="K184" s="61"/>
      <c r="L184" s="61"/>
      <c r="M184" s="67"/>
      <c r="N184" s="67"/>
      <c r="O184" s="61"/>
      <c r="P184" s="61"/>
      <c r="Q184" s="61"/>
      <c r="R184" s="61"/>
      <c r="S184" s="61"/>
    </row>
    <row r="185" spans="3:19" ht="12.75">
      <c r="C185" s="66"/>
      <c r="D185" s="66"/>
      <c r="F185" s="61"/>
      <c r="G185" s="61"/>
      <c r="H185" s="61"/>
      <c r="I185" s="61"/>
      <c r="J185" s="61"/>
      <c r="K185" s="61"/>
      <c r="L185" s="61"/>
      <c r="M185" s="67"/>
      <c r="N185" s="67"/>
      <c r="O185" s="61"/>
      <c r="P185" s="61"/>
      <c r="Q185" s="61"/>
      <c r="R185" s="61"/>
      <c r="S185" s="61"/>
    </row>
    <row r="186" spans="3:19" ht="12.75">
      <c r="C186" s="66"/>
      <c r="D186" s="66"/>
      <c r="F186" s="61"/>
      <c r="G186" s="61"/>
      <c r="H186" s="61"/>
      <c r="I186" s="61"/>
      <c r="J186" s="61"/>
      <c r="K186" s="61"/>
      <c r="L186" s="61"/>
      <c r="M186" s="67"/>
      <c r="N186" s="67"/>
      <c r="O186" s="61"/>
      <c r="P186" s="61"/>
      <c r="Q186" s="61"/>
      <c r="R186" s="61"/>
      <c r="S186" s="61"/>
    </row>
    <row r="187" spans="3:19" ht="12.75">
      <c r="C187" s="66"/>
      <c r="D187" s="66"/>
      <c r="F187" s="61"/>
      <c r="G187" s="61"/>
      <c r="H187" s="61"/>
      <c r="I187" s="61"/>
      <c r="J187" s="61"/>
      <c r="K187" s="61"/>
      <c r="L187" s="61"/>
      <c r="M187" s="67"/>
      <c r="N187" s="67"/>
      <c r="O187" s="61"/>
      <c r="P187" s="61"/>
      <c r="Q187" s="61"/>
      <c r="R187" s="61"/>
      <c r="S187" s="61"/>
    </row>
    <row r="188" spans="3:19" ht="12.75">
      <c r="C188" s="66"/>
      <c r="D188" s="66"/>
      <c r="F188" s="61"/>
      <c r="G188" s="61"/>
      <c r="H188" s="61"/>
      <c r="I188" s="61"/>
      <c r="J188" s="61"/>
      <c r="K188" s="61"/>
      <c r="L188" s="61"/>
      <c r="M188" s="67"/>
      <c r="N188" s="67"/>
      <c r="O188" s="61"/>
      <c r="P188" s="61"/>
      <c r="Q188" s="61"/>
      <c r="R188" s="61"/>
      <c r="S188" s="61"/>
    </row>
    <row r="189" spans="3:19" ht="12.75">
      <c r="C189" s="66"/>
      <c r="D189" s="66"/>
      <c r="F189" s="61"/>
      <c r="G189" s="61"/>
      <c r="H189" s="61"/>
      <c r="I189" s="61"/>
      <c r="J189" s="61"/>
      <c r="K189" s="61"/>
      <c r="L189" s="61"/>
      <c r="M189" s="67"/>
      <c r="N189" s="67"/>
      <c r="O189" s="61"/>
      <c r="P189" s="61"/>
      <c r="Q189" s="61"/>
      <c r="R189" s="61"/>
      <c r="S189" s="61"/>
    </row>
    <row r="190" spans="3:19" ht="12.75">
      <c r="C190" s="66"/>
      <c r="D190" s="66"/>
      <c r="F190" s="61"/>
      <c r="G190" s="61"/>
      <c r="H190" s="61"/>
      <c r="I190" s="61"/>
      <c r="J190" s="61"/>
      <c r="K190" s="61"/>
      <c r="L190" s="61"/>
      <c r="M190" s="67"/>
      <c r="N190" s="67"/>
      <c r="O190" s="61"/>
      <c r="P190" s="61"/>
      <c r="Q190" s="61"/>
      <c r="R190" s="61"/>
      <c r="S190" s="61"/>
    </row>
    <row r="191" spans="3:19" ht="12.75">
      <c r="C191" s="66"/>
      <c r="D191" s="66"/>
      <c r="F191" s="61"/>
      <c r="G191" s="61"/>
      <c r="H191" s="61"/>
      <c r="I191" s="61"/>
      <c r="J191" s="61"/>
      <c r="K191" s="61"/>
      <c r="L191" s="61"/>
      <c r="M191" s="67"/>
      <c r="N191" s="67"/>
      <c r="O191" s="61"/>
      <c r="P191" s="61"/>
      <c r="Q191" s="61"/>
      <c r="R191" s="61"/>
      <c r="S191" s="61"/>
    </row>
    <row r="192" spans="3:19" ht="12.75">
      <c r="C192" s="66"/>
      <c r="D192" s="66"/>
      <c r="F192" s="61"/>
      <c r="G192" s="61"/>
      <c r="H192" s="61"/>
      <c r="I192" s="61"/>
      <c r="J192" s="61"/>
      <c r="K192" s="61"/>
      <c r="L192" s="61"/>
      <c r="M192" s="67"/>
      <c r="N192" s="67"/>
      <c r="O192" s="61"/>
      <c r="P192" s="61"/>
      <c r="Q192" s="61"/>
      <c r="R192" s="61"/>
      <c r="S192" s="61"/>
    </row>
    <row r="193" spans="3:19" ht="12.75">
      <c r="C193" s="66"/>
      <c r="D193" s="66"/>
      <c r="F193" s="61"/>
      <c r="G193" s="61"/>
      <c r="H193" s="61"/>
      <c r="I193" s="61"/>
      <c r="J193" s="61"/>
      <c r="K193" s="61"/>
      <c r="L193" s="61"/>
      <c r="M193" s="67"/>
      <c r="N193" s="67"/>
      <c r="O193" s="61"/>
      <c r="P193" s="61"/>
      <c r="Q193" s="61"/>
      <c r="R193" s="61"/>
      <c r="S193" s="61"/>
    </row>
    <row r="194" spans="3:19" ht="12.75">
      <c r="C194" s="66"/>
      <c r="D194" s="66"/>
      <c r="F194" s="61"/>
      <c r="G194" s="61"/>
      <c r="H194" s="61"/>
      <c r="I194" s="61"/>
      <c r="J194" s="61"/>
      <c r="K194" s="61"/>
      <c r="L194" s="61"/>
      <c r="M194" s="67"/>
      <c r="N194" s="67"/>
      <c r="O194" s="61"/>
      <c r="P194" s="61"/>
      <c r="Q194" s="61"/>
      <c r="R194" s="61"/>
      <c r="S194" s="61"/>
    </row>
    <row r="195" spans="3:19" ht="12.75">
      <c r="C195" s="66"/>
      <c r="D195" s="66"/>
      <c r="F195" s="61"/>
      <c r="G195" s="61"/>
      <c r="H195" s="61"/>
      <c r="I195" s="61"/>
      <c r="J195" s="61"/>
      <c r="K195" s="61"/>
      <c r="L195" s="61"/>
      <c r="M195" s="67"/>
      <c r="N195" s="67"/>
      <c r="O195" s="61"/>
      <c r="P195" s="61"/>
      <c r="Q195" s="61"/>
      <c r="R195" s="61"/>
      <c r="S195" s="61"/>
    </row>
    <row r="196" spans="3:19" ht="12.75">
      <c r="C196" s="66"/>
      <c r="D196" s="66"/>
      <c r="F196" s="61"/>
      <c r="G196" s="61"/>
      <c r="H196" s="61"/>
      <c r="I196" s="61"/>
      <c r="J196" s="61"/>
      <c r="K196" s="61"/>
      <c r="L196" s="61"/>
      <c r="M196" s="67"/>
      <c r="N196" s="67"/>
      <c r="O196" s="61"/>
      <c r="P196" s="61"/>
      <c r="Q196" s="61"/>
      <c r="R196" s="61"/>
      <c r="S196" s="61"/>
    </row>
    <row r="197" spans="3:19" ht="12.75">
      <c r="C197" s="66"/>
      <c r="D197" s="66"/>
      <c r="F197" s="61"/>
      <c r="G197" s="61"/>
      <c r="H197" s="61"/>
      <c r="I197" s="61"/>
      <c r="J197" s="61"/>
      <c r="K197" s="61"/>
      <c r="L197" s="61"/>
      <c r="M197" s="67"/>
      <c r="N197" s="67"/>
      <c r="O197" s="61"/>
      <c r="P197" s="61"/>
      <c r="Q197" s="61"/>
      <c r="R197" s="61"/>
      <c r="S197" s="61"/>
    </row>
    <row r="198" spans="3:19" ht="12.75">
      <c r="C198" s="66"/>
      <c r="D198" s="66"/>
      <c r="F198" s="61"/>
      <c r="G198" s="61"/>
      <c r="H198" s="61"/>
      <c r="I198" s="61"/>
      <c r="J198" s="61"/>
      <c r="K198" s="61"/>
      <c r="L198" s="61"/>
      <c r="M198" s="67"/>
      <c r="N198" s="67"/>
      <c r="O198" s="61"/>
      <c r="P198" s="61"/>
      <c r="Q198" s="61"/>
      <c r="R198" s="61"/>
      <c r="S198" s="61"/>
    </row>
    <row r="199" spans="3:19" ht="12.75">
      <c r="C199" s="66"/>
      <c r="D199" s="66"/>
      <c r="F199" s="61"/>
      <c r="G199" s="61"/>
      <c r="H199" s="61"/>
      <c r="I199" s="61"/>
      <c r="J199" s="61"/>
      <c r="K199" s="61"/>
      <c r="L199" s="61"/>
      <c r="M199" s="67"/>
      <c r="N199" s="67"/>
      <c r="O199" s="61"/>
      <c r="P199" s="61"/>
      <c r="Q199" s="61"/>
      <c r="R199" s="61"/>
      <c r="S199" s="61"/>
    </row>
    <row r="200" spans="3:19" ht="12.75">
      <c r="C200" s="66"/>
      <c r="D200" s="66"/>
      <c r="F200" s="61"/>
      <c r="G200" s="61"/>
      <c r="H200" s="61"/>
      <c r="I200" s="61"/>
      <c r="J200" s="61"/>
      <c r="K200" s="61"/>
      <c r="L200" s="61"/>
      <c r="M200" s="67"/>
      <c r="N200" s="67"/>
      <c r="O200" s="61"/>
      <c r="P200" s="61"/>
      <c r="Q200" s="61"/>
      <c r="R200" s="61"/>
      <c r="S200" s="61"/>
    </row>
    <row r="201" spans="3:19" ht="12.75">
      <c r="C201" s="66"/>
      <c r="D201" s="66"/>
      <c r="F201" s="61"/>
      <c r="G201" s="61"/>
      <c r="H201" s="61"/>
      <c r="I201" s="61"/>
      <c r="J201" s="61"/>
      <c r="K201" s="61"/>
      <c r="L201" s="61"/>
      <c r="M201" s="67"/>
      <c r="N201" s="67"/>
      <c r="O201" s="61"/>
      <c r="P201" s="61"/>
      <c r="Q201" s="61"/>
      <c r="R201" s="61"/>
      <c r="S201" s="61"/>
    </row>
    <row r="202" spans="3:19" ht="12.75">
      <c r="C202" s="66"/>
      <c r="D202" s="66"/>
      <c r="F202" s="61"/>
      <c r="G202" s="61"/>
      <c r="H202" s="61"/>
      <c r="I202" s="61"/>
      <c r="J202" s="61"/>
      <c r="K202" s="61"/>
      <c r="L202" s="61"/>
      <c r="M202" s="67"/>
      <c r="N202" s="67"/>
      <c r="O202" s="61"/>
      <c r="P202" s="61"/>
      <c r="Q202" s="61"/>
      <c r="R202" s="61"/>
      <c r="S202" s="61"/>
    </row>
    <row r="203" spans="3:19" ht="12.75">
      <c r="C203" s="66"/>
      <c r="D203" s="66"/>
      <c r="F203" s="61"/>
      <c r="G203" s="61"/>
      <c r="H203" s="61"/>
      <c r="I203" s="61"/>
      <c r="J203" s="61"/>
      <c r="K203" s="61"/>
      <c r="L203" s="61"/>
      <c r="M203" s="67"/>
      <c r="N203" s="67"/>
      <c r="O203" s="61"/>
      <c r="P203" s="61"/>
      <c r="Q203" s="61"/>
      <c r="R203" s="61"/>
      <c r="S203" s="61"/>
    </row>
    <row r="204" spans="3:19" ht="12.75">
      <c r="C204" s="66"/>
      <c r="D204" s="66"/>
      <c r="F204" s="61"/>
      <c r="G204" s="61"/>
      <c r="H204" s="61"/>
      <c r="I204" s="61"/>
      <c r="J204" s="61"/>
      <c r="K204" s="61"/>
      <c r="L204" s="61"/>
      <c r="M204" s="67"/>
      <c r="N204" s="67"/>
      <c r="O204" s="61"/>
      <c r="P204" s="61"/>
      <c r="Q204" s="61"/>
      <c r="R204" s="61"/>
      <c r="S204" s="61"/>
    </row>
    <row r="205" spans="3:19" ht="12.75">
      <c r="C205" s="66"/>
      <c r="D205" s="66"/>
      <c r="F205" s="61"/>
      <c r="G205" s="61"/>
      <c r="H205" s="61"/>
      <c r="I205" s="61"/>
      <c r="J205" s="61"/>
      <c r="K205" s="61"/>
      <c r="L205" s="61"/>
      <c r="M205" s="67"/>
      <c r="N205" s="67"/>
      <c r="O205" s="61"/>
      <c r="P205" s="61"/>
      <c r="Q205" s="61"/>
      <c r="R205" s="61"/>
      <c r="S205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S205"/>
  <sheetViews>
    <sheetView workbookViewId="0" topLeftCell="A1">
      <selection activeCell="J5" sqref="J5:K24"/>
    </sheetView>
  </sheetViews>
  <sheetFormatPr defaultColWidth="9.140625" defaultRowHeight="12.75"/>
  <cols>
    <col min="5" max="5" width="7.00390625" style="0" customWidth="1"/>
    <col min="8" max="8" width="11.00390625" style="0" bestFit="1" customWidth="1"/>
    <col min="12" max="12" width="5.28125" style="0" customWidth="1"/>
    <col min="13" max="14" width="9.421875" style="54" bestFit="1" customWidth="1"/>
  </cols>
  <sheetData>
    <row r="1" spans="1:9" ht="12.75">
      <c r="A1" s="19"/>
      <c r="H1" s="54" t="s">
        <v>162</v>
      </c>
      <c r="I1" s="54"/>
    </row>
    <row r="2" spans="1:9" ht="12.75">
      <c r="A2" s="19"/>
      <c r="B2" s="24" t="s">
        <v>163</v>
      </c>
      <c r="C2" s="24"/>
      <c r="D2" s="24"/>
      <c r="H2" s="82">
        <v>33</v>
      </c>
      <c r="I2" s="55" t="s">
        <v>168</v>
      </c>
    </row>
    <row r="3" spans="2:14" ht="13.5" thickBot="1">
      <c r="B3" s="24" t="s">
        <v>164</v>
      </c>
      <c r="D3" s="24"/>
      <c r="F3" s="56" t="s">
        <v>30</v>
      </c>
      <c r="H3" s="56" t="s">
        <v>26</v>
      </c>
      <c r="J3" s="57" t="s">
        <v>27</v>
      </c>
      <c r="M3" s="62"/>
      <c r="N3" s="62"/>
    </row>
    <row r="4" spans="1:14" ht="12.75">
      <c r="A4" s="58" t="s">
        <v>165</v>
      </c>
      <c r="B4" s="59"/>
      <c r="C4" s="59" t="s">
        <v>24</v>
      </c>
      <c r="D4" s="59" t="s">
        <v>25</v>
      </c>
      <c r="F4" s="38" t="s">
        <v>21</v>
      </c>
      <c r="G4" s="38" t="s">
        <v>22</v>
      </c>
      <c r="H4" s="38" t="s">
        <v>21</v>
      </c>
      <c r="I4" s="38" t="s">
        <v>22</v>
      </c>
      <c r="J4" s="38" t="s">
        <v>21</v>
      </c>
      <c r="K4" s="38" t="s">
        <v>22</v>
      </c>
      <c r="L4" s="42" t="s">
        <v>162</v>
      </c>
      <c r="M4" s="62"/>
      <c r="N4" s="62"/>
    </row>
    <row r="5" spans="3:19" ht="12.75">
      <c r="C5" s="60">
        <v>49.0429</v>
      </c>
      <c r="D5" s="60">
        <v>12.8716</v>
      </c>
      <c r="F5" s="61">
        <v>870723.570069363</v>
      </c>
      <c r="G5" s="61">
        <v>1141510.7631392125</v>
      </c>
      <c r="H5" s="61">
        <v>3344522.4055098374</v>
      </c>
      <c r="I5" s="61">
        <v>5436720.302993191</v>
      </c>
      <c r="J5" s="61">
        <v>344462.1914351103</v>
      </c>
      <c r="K5" s="61">
        <v>5434406.9770900505</v>
      </c>
      <c r="L5" s="61">
        <v>33</v>
      </c>
      <c r="M5" s="62"/>
      <c r="N5" s="62"/>
      <c r="O5" s="61"/>
      <c r="P5" s="61"/>
      <c r="Q5" s="61"/>
      <c r="R5" s="61"/>
      <c r="S5" s="61"/>
    </row>
    <row r="6" spans="3:19" ht="12.75">
      <c r="C6" s="60">
        <v>49.0325</v>
      </c>
      <c r="D6" s="60">
        <v>13.5571</v>
      </c>
      <c r="F6" s="61">
        <v>821357.3166942963</v>
      </c>
      <c r="G6" s="61">
        <v>1150282.4452950696</v>
      </c>
      <c r="H6" s="61">
        <v>3394613.5075783553</v>
      </c>
      <c r="I6" s="61">
        <v>5434383.883125053</v>
      </c>
      <c r="J6" s="61">
        <v>394532.8862723264</v>
      </c>
      <c r="K6" s="61">
        <v>5432071.515928634</v>
      </c>
      <c r="L6" s="61">
        <v>33</v>
      </c>
      <c r="M6" s="62"/>
      <c r="N6" s="62"/>
      <c r="O6" s="61"/>
      <c r="P6" s="63"/>
      <c r="Q6" s="63"/>
      <c r="R6" s="63"/>
      <c r="S6" s="64"/>
    </row>
    <row r="7" spans="3:19" ht="12.75">
      <c r="C7" s="60">
        <v>49.018</v>
      </c>
      <c r="D7" s="60">
        <v>14.2423</v>
      </c>
      <c r="F7" s="61">
        <v>771990.3343471021</v>
      </c>
      <c r="G7" s="61">
        <v>1159051.2492570435</v>
      </c>
      <c r="H7" s="61">
        <v>3444701.133892031</v>
      </c>
      <c r="I7" s="61">
        <v>5432044.71307209</v>
      </c>
      <c r="J7" s="61">
        <v>444600.1064397284</v>
      </c>
      <c r="K7" s="61">
        <v>5429733.303031622</v>
      </c>
      <c r="L7" s="61">
        <v>33</v>
      </c>
      <c r="M7" s="62"/>
      <c r="N7" s="62"/>
      <c r="O7" s="61"/>
      <c r="P7" s="63"/>
      <c r="Q7" s="63"/>
      <c r="R7" s="64"/>
      <c r="S7" s="61"/>
    </row>
    <row r="8" spans="1:19" ht="12.75">
      <c r="A8" s="24" t="s">
        <v>166</v>
      </c>
      <c r="B8" s="24"/>
      <c r="C8" s="60">
        <v>48.9994</v>
      </c>
      <c r="D8" s="60">
        <v>14.927</v>
      </c>
      <c r="F8" s="61">
        <v>722628.5283312749</v>
      </c>
      <c r="G8" s="61">
        <v>1167817.8525815678</v>
      </c>
      <c r="H8" s="61">
        <v>3494781.962895471</v>
      </c>
      <c r="I8" s="61">
        <v>5429702.103688933</v>
      </c>
      <c r="J8" s="61">
        <v>494660.5317654016</v>
      </c>
      <c r="K8" s="61">
        <v>5427391.649529678</v>
      </c>
      <c r="L8" s="61">
        <v>33</v>
      </c>
      <c r="M8" s="62"/>
      <c r="N8" s="62"/>
      <c r="O8" s="61"/>
      <c r="P8" s="63"/>
      <c r="Q8" s="63"/>
      <c r="R8" s="64"/>
      <c r="S8" s="61"/>
    </row>
    <row r="9" spans="1:19" ht="12.75">
      <c r="A9" s="24" t="s">
        <v>167</v>
      </c>
      <c r="B9" s="24"/>
      <c r="C9" s="60">
        <v>50</v>
      </c>
      <c r="D9" s="60">
        <v>15.6111</v>
      </c>
      <c r="F9" s="61">
        <v>659549.1052903971</v>
      </c>
      <c r="G9" s="61">
        <v>1063613.0760039613</v>
      </c>
      <c r="H9" s="61">
        <v>3543937.059236979</v>
      </c>
      <c r="I9" s="61">
        <v>5541165.473263151</v>
      </c>
      <c r="J9" s="61">
        <v>543795.6064764439</v>
      </c>
      <c r="K9" s="61">
        <v>5538809.620317526</v>
      </c>
      <c r="L9" s="61">
        <v>33</v>
      </c>
      <c r="M9" s="62"/>
      <c r="N9" s="62"/>
      <c r="O9" s="61"/>
      <c r="P9" s="63"/>
      <c r="Q9" s="63"/>
      <c r="R9" s="64"/>
      <c r="S9" s="61"/>
    </row>
    <row r="10" spans="3:19" ht="12.75">
      <c r="C10" s="60">
        <v>48.9497</v>
      </c>
      <c r="D10" s="60">
        <v>16.2946</v>
      </c>
      <c r="F10" s="61">
        <v>623910.9761069332</v>
      </c>
      <c r="G10" s="61">
        <v>1185374.926606801</v>
      </c>
      <c r="H10" s="61">
        <v>3594946.769154054</v>
      </c>
      <c r="I10" s="61">
        <v>5424980.342057269</v>
      </c>
      <c r="J10" s="61">
        <v>594784.5286013873</v>
      </c>
      <c r="K10" s="61">
        <v>5422671.806499351</v>
      </c>
      <c r="L10" s="61">
        <v>33</v>
      </c>
      <c r="M10" s="62"/>
      <c r="N10" s="62"/>
      <c r="O10" s="61"/>
      <c r="P10" s="63"/>
      <c r="Q10" s="63"/>
      <c r="R10" s="64"/>
      <c r="S10" s="61"/>
    </row>
    <row r="11" spans="3:19" ht="12.75">
      <c r="C11" s="60">
        <v>48.9187</v>
      </c>
      <c r="D11" s="60">
        <v>16.9772</v>
      </c>
      <c r="F11" s="61">
        <v>574558.9218669084</v>
      </c>
      <c r="G11" s="61">
        <v>1194157.3694594759</v>
      </c>
      <c r="H11" s="61">
        <v>3645031.3883974855</v>
      </c>
      <c r="I11" s="61">
        <v>5422609.929392698</v>
      </c>
      <c r="J11" s="61">
        <v>644848.7418974609</v>
      </c>
      <c r="K11" s="61">
        <v>5420302.352983347</v>
      </c>
      <c r="L11" s="61">
        <v>33</v>
      </c>
      <c r="M11" s="62"/>
      <c r="N11" s="62"/>
      <c r="O11" s="61"/>
      <c r="P11" s="61"/>
      <c r="Q11" s="61"/>
      <c r="R11" s="61"/>
      <c r="S11" s="61"/>
    </row>
    <row r="12" spans="3:19" ht="12.75">
      <c r="C12" s="60">
        <v>48.8836</v>
      </c>
      <c r="D12" s="60">
        <v>17.6589</v>
      </c>
      <c r="F12" s="61">
        <v>525207.7753666592</v>
      </c>
      <c r="G12" s="61">
        <v>1202945.3561887639</v>
      </c>
      <c r="H12" s="61">
        <v>3695125.109027916</v>
      </c>
      <c r="I12" s="61">
        <v>5420231.428650011</v>
      </c>
      <c r="J12" s="61">
        <v>694922.0526897295</v>
      </c>
      <c r="K12" s="61">
        <v>5417924.811984407</v>
      </c>
      <c r="L12" s="61">
        <v>33</v>
      </c>
      <c r="M12" s="62"/>
      <c r="N12" s="62"/>
      <c r="O12" s="61"/>
      <c r="P12" s="61"/>
      <c r="Q12" s="61"/>
      <c r="R12" s="61"/>
      <c r="S12" s="61"/>
    </row>
    <row r="13" spans="3:19" ht="12.75">
      <c r="C13" s="60">
        <v>48.8443</v>
      </c>
      <c r="D13" s="60">
        <v>18.3395</v>
      </c>
      <c r="F13" s="61">
        <v>475865.07238865463</v>
      </c>
      <c r="G13" s="61">
        <v>1211751.3317304926</v>
      </c>
      <c r="H13" s="65">
        <v>3745224.929221571</v>
      </c>
      <c r="I13" s="61">
        <v>5417831.960752545</v>
      </c>
      <c r="J13" s="61">
        <v>304807.79317533516</v>
      </c>
      <c r="K13" s="61">
        <v>5413560.85576718</v>
      </c>
      <c r="L13" s="61">
        <v>34</v>
      </c>
      <c r="M13" s="62"/>
      <c r="N13" s="62"/>
      <c r="O13" s="61"/>
      <c r="P13" s="61"/>
      <c r="Q13" s="61"/>
      <c r="R13" s="61"/>
      <c r="S13" s="61"/>
    </row>
    <row r="14" spans="3:19" ht="12.75">
      <c r="C14" s="60">
        <v>49.4924</v>
      </c>
      <c r="D14" s="60">
        <v>12.8844</v>
      </c>
      <c r="F14" s="61">
        <v>861971.016628541</v>
      </c>
      <c r="G14" s="61">
        <v>1092279.5255021711</v>
      </c>
      <c r="H14" s="61">
        <v>3346857.3752353108</v>
      </c>
      <c r="I14" s="61">
        <v>5486680.562450994</v>
      </c>
      <c r="J14" s="61">
        <v>346796.20194378996</v>
      </c>
      <c r="K14" s="61">
        <v>5484346.887618278</v>
      </c>
      <c r="L14" s="61">
        <v>33</v>
      </c>
      <c r="M14" s="62"/>
      <c r="N14" s="62"/>
      <c r="O14" s="61"/>
      <c r="P14" s="61"/>
      <c r="Q14" s="61"/>
      <c r="R14" s="61"/>
      <c r="S14" s="61"/>
    </row>
    <row r="15" spans="3:19" ht="12.75">
      <c r="C15" s="60">
        <v>49.4819</v>
      </c>
      <c r="D15" s="60">
        <v>13.5763</v>
      </c>
      <c r="F15" s="61">
        <v>812600.0719639442</v>
      </c>
      <c r="G15" s="61">
        <v>1101055.230167354</v>
      </c>
      <c r="H15" s="61">
        <v>3396958.534291415</v>
      </c>
      <c r="I15" s="61">
        <v>5484335.349981766</v>
      </c>
      <c r="J15" s="61">
        <v>396876.95225418033</v>
      </c>
      <c r="K15" s="61">
        <v>5482002.637117619</v>
      </c>
      <c r="L15" s="61">
        <v>33</v>
      </c>
      <c r="M15" s="62"/>
      <c r="N15" s="62"/>
      <c r="O15" s="61"/>
      <c r="P15" s="61"/>
      <c r="Q15" s="61"/>
      <c r="R15" s="61"/>
      <c r="S15" s="61"/>
    </row>
    <row r="16" spans="3:19" ht="12.75">
      <c r="C16" s="60">
        <v>49.4673</v>
      </c>
      <c r="D16" s="60">
        <v>14.2678</v>
      </c>
      <c r="F16" s="61">
        <v>763233.0622367766</v>
      </c>
      <c r="G16" s="61">
        <v>1109822.3876090231</v>
      </c>
      <c r="H16" s="61">
        <v>3447050.060423997</v>
      </c>
      <c r="I16" s="61">
        <v>5481994.81897998</v>
      </c>
      <c r="J16" s="61">
        <v>446948.07323707495</v>
      </c>
      <c r="K16" s="61">
        <v>5479663.0635354</v>
      </c>
      <c r="L16" s="61">
        <v>33</v>
      </c>
      <c r="M16" s="62"/>
      <c r="N16" s="62"/>
      <c r="O16" s="61"/>
      <c r="P16" s="61"/>
      <c r="Q16" s="61"/>
      <c r="R16" s="61"/>
      <c r="S16" s="61"/>
    </row>
    <row r="17" spans="3:19" ht="12.75">
      <c r="C17" s="60">
        <v>49.4485</v>
      </c>
      <c r="D17" s="60">
        <v>14.9589</v>
      </c>
      <c r="F17" s="61">
        <v>713862.8293199242</v>
      </c>
      <c r="G17" s="61">
        <v>1118594.884718729</v>
      </c>
      <c r="H17" s="61">
        <v>3497143.319952637</v>
      </c>
      <c r="I17" s="61">
        <v>5479646.954060033</v>
      </c>
      <c r="J17" s="61">
        <v>497020.92661341757</v>
      </c>
      <c r="K17" s="61">
        <v>5477316.156376055</v>
      </c>
      <c r="L17" s="61">
        <v>33</v>
      </c>
      <c r="M17" s="62"/>
      <c r="N17" s="62"/>
      <c r="O17" s="61"/>
      <c r="P17" s="61"/>
      <c r="Q17" s="61"/>
      <c r="R17" s="61"/>
      <c r="S17" s="61"/>
    </row>
    <row r="18" spans="3:19" ht="12.75">
      <c r="C18" s="60">
        <v>49.4255</v>
      </c>
      <c r="D18" s="60">
        <v>15.6493</v>
      </c>
      <c r="F18" s="61">
        <v>664502.1609531329</v>
      </c>
      <c r="G18" s="61">
        <v>1127372.7923781585</v>
      </c>
      <c r="H18" s="61">
        <v>3547228.21746379</v>
      </c>
      <c r="I18" s="61">
        <v>5477290.840216147</v>
      </c>
      <c r="J18" s="61">
        <v>547085.4211118456</v>
      </c>
      <c r="K18" s="61">
        <v>5474961.001001368</v>
      </c>
      <c r="L18" s="61">
        <v>33</v>
      </c>
      <c r="M18" s="62"/>
      <c r="N18" s="62"/>
      <c r="O18" s="61"/>
      <c r="P18" s="61"/>
      <c r="Q18" s="61"/>
      <c r="R18" s="61"/>
      <c r="S18" s="61"/>
    </row>
    <row r="19" spans="3:19" ht="12.75">
      <c r="C19" s="60">
        <v>49.3983</v>
      </c>
      <c r="D19" s="60">
        <v>16.3391</v>
      </c>
      <c r="F19" s="61">
        <v>615135.217709796</v>
      </c>
      <c r="G19" s="61">
        <v>1136159.9610427176</v>
      </c>
      <c r="H19" s="61">
        <v>3597323.6377089727</v>
      </c>
      <c r="I19" s="61">
        <v>5474925.446557988</v>
      </c>
      <c r="J19" s="61">
        <v>597160.4338203436</v>
      </c>
      <c r="K19" s="61">
        <v>5472596.566934778</v>
      </c>
      <c r="L19" s="61">
        <v>33</v>
      </c>
      <c r="M19" s="62"/>
      <c r="N19" s="62"/>
      <c r="O19" s="61"/>
      <c r="P19" s="61"/>
      <c r="Q19" s="61"/>
      <c r="R19" s="61"/>
      <c r="S19" s="61"/>
    </row>
    <row r="20" spans="3:19" ht="12.75">
      <c r="C20" s="60">
        <v>49.367</v>
      </c>
      <c r="D20" s="60">
        <v>17.028</v>
      </c>
      <c r="F20" s="61">
        <v>565773.9663567524</v>
      </c>
      <c r="G20" s="61">
        <v>1144945.7145061071</v>
      </c>
      <c r="H20" s="61">
        <v>3647419.1186740873</v>
      </c>
      <c r="I20" s="61">
        <v>5472560.511631836</v>
      </c>
      <c r="J20" s="61">
        <v>647235.5070176948</v>
      </c>
      <c r="K20" s="61">
        <v>5470232.588750375</v>
      </c>
      <c r="L20" s="61">
        <v>33</v>
      </c>
      <c r="M20" s="62"/>
      <c r="N20" s="62"/>
      <c r="O20" s="61"/>
      <c r="P20" s="61"/>
      <c r="Q20" s="61"/>
      <c r="R20" s="61"/>
      <c r="S20" s="61"/>
    </row>
    <row r="21" spans="3:19" ht="12.75">
      <c r="C21" s="60">
        <v>49.3315</v>
      </c>
      <c r="D21" s="60">
        <v>17.716</v>
      </c>
      <c r="F21" s="61">
        <v>516411.3583705538</v>
      </c>
      <c r="G21" s="61">
        <v>1153744.0384432506</v>
      </c>
      <c r="H21" s="61">
        <v>3697526.3296794244</v>
      </c>
      <c r="I21" s="61">
        <v>5470183.681124591</v>
      </c>
      <c r="J21" s="61">
        <v>697322.30529899</v>
      </c>
      <c r="K21" s="61">
        <v>5467856.717158707</v>
      </c>
      <c r="L21" s="61">
        <v>33</v>
      </c>
      <c r="M21" s="62"/>
      <c r="N21" s="62"/>
      <c r="O21" s="61"/>
      <c r="P21" s="61"/>
      <c r="Q21" s="61"/>
      <c r="R21" s="61"/>
      <c r="S21" s="61"/>
    </row>
    <row r="22" spans="3:19" ht="12.75">
      <c r="C22" s="60">
        <v>49.2919</v>
      </c>
      <c r="D22" s="60">
        <v>18.4029</v>
      </c>
      <c r="F22" s="61">
        <v>467052.6562938196</v>
      </c>
      <c r="G22" s="61">
        <v>1162545.3124305983</v>
      </c>
      <c r="H22" s="65">
        <v>3747641.7825063257</v>
      </c>
      <c r="I22" s="61">
        <v>5467804.34540844</v>
      </c>
      <c r="J22" s="61">
        <v>311163.6921513012</v>
      </c>
      <c r="K22" s="61">
        <v>5463151.03140104</v>
      </c>
      <c r="L22" s="61">
        <v>34</v>
      </c>
      <c r="M22" s="62"/>
      <c r="N22" s="62"/>
      <c r="O22" s="61"/>
      <c r="P22" s="61"/>
      <c r="Q22" s="61"/>
      <c r="R22" s="61"/>
      <c r="S22" s="61"/>
    </row>
    <row r="23" spans="3:19" ht="12.75">
      <c r="C23" s="60">
        <v>49.9419</v>
      </c>
      <c r="D23" s="60">
        <v>12.8974</v>
      </c>
      <c r="F23" s="61">
        <v>853218.702359653</v>
      </c>
      <c r="G23" s="61">
        <v>1043049.132806084</v>
      </c>
      <c r="H23" s="61">
        <v>3349199.2043161</v>
      </c>
      <c r="I23" s="61">
        <v>5536644.077121356</v>
      </c>
      <c r="J23" s="61">
        <v>349137.06934607704</v>
      </c>
      <c r="K23" s="61">
        <v>5534290.05453276</v>
      </c>
      <c r="L23" s="61">
        <v>33</v>
      </c>
      <c r="M23" s="62"/>
      <c r="N23" s="62"/>
      <c r="O23" s="61"/>
      <c r="P23" s="61"/>
      <c r="Q23" s="61"/>
      <c r="R23" s="61"/>
      <c r="S23" s="61"/>
    </row>
    <row r="24" spans="3:19" ht="12.75">
      <c r="C24" s="60">
        <v>49.9314</v>
      </c>
      <c r="D24" s="60">
        <v>13.5958</v>
      </c>
      <c r="F24" s="61">
        <v>803843.2695642215</v>
      </c>
      <c r="G24" s="61">
        <v>1051816.2650340772</v>
      </c>
      <c r="H24" s="61">
        <v>3399306.2312135673</v>
      </c>
      <c r="I24" s="61">
        <v>5534301.679692035</v>
      </c>
      <c r="J24" s="61">
        <v>399223.6876595596</v>
      </c>
      <c r="K24" s="61">
        <v>5531948.617608938</v>
      </c>
      <c r="L24" s="61">
        <v>33</v>
      </c>
      <c r="M24" s="62"/>
      <c r="N24" s="62"/>
      <c r="O24" s="61"/>
      <c r="P24" s="61"/>
      <c r="Q24" s="61"/>
      <c r="R24" s="61"/>
      <c r="S24" s="61"/>
    </row>
    <row r="25" spans="3:19" ht="12.75">
      <c r="C25" s="60"/>
      <c r="D25" s="60"/>
      <c r="F25" s="61"/>
      <c r="G25" s="61"/>
      <c r="H25" s="61"/>
      <c r="I25" s="61"/>
      <c r="J25" s="61"/>
      <c r="K25" s="61"/>
      <c r="L25" s="61"/>
      <c r="M25" s="62"/>
      <c r="N25" s="62"/>
      <c r="O25" s="61"/>
      <c r="P25" s="61"/>
      <c r="Q25" s="61"/>
      <c r="R25" s="61"/>
      <c r="S25" s="61"/>
    </row>
    <row r="26" spans="3:19" ht="12.75">
      <c r="C26" s="60"/>
      <c r="D26" s="60"/>
      <c r="F26" s="61"/>
      <c r="G26" s="61"/>
      <c r="H26" s="61"/>
      <c r="I26" s="61"/>
      <c r="J26" s="61"/>
      <c r="K26" s="61"/>
      <c r="L26" s="61"/>
      <c r="M26" s="62"/>
      <c r="N26" s="62"/>
      <c r="O26" s="61"/>
      <c r="P26" s="61"/>
      <c r="Q26" s="61"/>
      <c r="R26" s="61"/>
      <c r="S26" s="61"/>
    </row>
    <row r="27" spans="3:19" ht="12.75">
      <c r="C27" s="60"/>
      <c r="D27" s="60"/>
      <c r="F27" s="61"/>
      <c r="G27" s="61"/>
      <c r="H27" s="61"/>
      <c r="I27" s="61"/>
      <c r="J27" s="61"/>
      <c r="K27" s="61"/>
      <c r="L27" s="61"/>
      <c r="M27" s="62"/>
      <c r="N27" s="62"/>
      <c r="O27" s="61"/>
      <c r="P27" s="61"/>
      <c r="Q27" s="61"/>
      <c r="R27" s="61"/>
      <c r="S27" s="61"/>
    </row>
    <row r="28" spans="3:19" ht="12.75">
      <c r="C28" s="60"/>
      <c r="D28" s="60"/>
      <c r="F28" s="61"/>
      <c r="G28" s="61"/>
      <c r="H28" s="61"/>
      <c r="I28" s="61"/>
      <c r="J28" s="61"/>
      <c r="K28" s="61"/>
      <c r="L28" s="61"/>
      <c r="M28" s="62"/>
      <c r="N28" s="62"/>
      <c r="O28" s="61"/>
      <c r="P28" s="61"/>
      <c r="Q28" s="61"/>
      <c r="R28" s="61"/>
      <c r="S28" s="61"/>
    </row>
    <row r="29" spans="3:19" ht="12.75">
      <c r="C29" s="60"/>
      <c r="D29" s="60"/>
      <c r="F29" s="61"/>
      <c r="G29" s="61"/>
      <c r="H29" s="61"/>
      <c r="I29" s="61"/>
      <c r="J29" s="61"/>
      <c r="K29" s="61"/>
      <c r="L29" s="61"/>
      <c r="M29" s="62"/>
      <c r="N29" s="62"/>
      <c r="O29" s="61"/>
      <c r="P29" s="61"/>
      <c r="Q29" s="61"/>
      <c r="R29" s="61"/>
      <c r="S29" s="61"/>
    </row>
    <row r="30" spans="3:19" ht="12.75">
      <c r="C30" s="60"/>
      <c r="D30" s="60"/>
      <c r="F30" s="61"/>
      <c r="G30" s="61"/>
      <c r="H30" s="61"/>
      <c r="I30" s="61"/>
      <c r="J30" s="61"/>
      <c r="K30" s="61"/>
      <c r="L30" s="61"/>
      <c r="M30" s="62"/>
      <c r="N30" s="62"/>
      <c r="O30" s="61"/>
      <c r="P30" s="61"/>
      <c r="Q30" s="61"/>
      <c r="R30" s="61"/>
      <c r="S30" s="61"/>
    </row>
    <row r="31" spans="3:19" ht="12.75">
      <c r="C31" s="60"/>
      <c r="D31" s="60"/>
      <c r="F31" s="61"/>
      <c r="G31" s="61"/>
      <c r="H31" s="61"/>
      <c r="I31" s="61"/>
      <c r="J31" s="61"/>
      <c r="K31" s="61"/>
      <c r="L31" s="61"/>
      <c r="M31" s="62"/>
      <c r="N31" s="62"/>
      <c r="O31" s="61"/>
      <c r="P31" s="61"/>
      <c r="Q31" s="61"/>
      <c r="R31" s="61"/>
      <c r="S31" s="61"/>
    </row>
    <row r="32" spans="3:19" ht="12.75">
      <c r="C32" s="60"/>
      <c r="D32" s="60"/>
      <c r="F32" s="61"/>
      <c r="G32" s="61"/>
      <c r="H32" s="61"/>
      <c r="I32" s="61"/>
      <c r="J32" s="61"/>
      <c r="K32" s="61"/>
      <c r="L32" s="61"/>
      <c r="M32" s="62"/>
      <c r="N32" s="62"/>
      <c r="O32" s="61"/>
      <c r="P32" s="61"/>
      <c r="Q32" s="61"/>
      <c r="R32" s="61"/>
      <c r="S32" s="61"/>
    </row>
    <row r="33" spans="3:19" ht="12.75">
      <c r="C33" s="60"/>
      <c r="D33" s="60"/>
      <c r="F33" s="61"/>
      <c r="G33" s="61"/>
      <c r="H33" s="61"/>
      <c r="I33" s="61"/>
      <c r="J33" s="61"/>
      <c r="K33" s="61"/>
      <c r="L33" s="61"/>
      <c r="M33" s="62"/>
      <c r="N33" s="62"/>
      <c r="O33" s="61"/>
      <c r="P33" s="61"/>
      <c r="Q33" s="61"/>
      <c r="R33" s="61"/>
      <c r="S33" s="61"/>
    </row>
    <row r="34" spans="3:19" ht="12.75">
      <c r="C34" s="60"/>
      <c r="D34" s="60"/>
      <c r="F34" s="61"/>
      <c r="G34" s="61"/>
      <c r="H34" s="61"/>
      <c r="I34" s="61"/>
      <c r="J34" s="61"/>
      <c r="K34" s="61"/>
      <c r="L34" s="61"/>
      <c r="M34" s="62"/>
      <c r="N34" s="62"/>
      <c r="O34" s="61"/>
      <c r="P34" s="61"/>
      <c r="Q34" s="61"/>
      <c r="R34" s="61"/>
      <c r="S34" s="61"/>
    </row>
    <row r="35" spans="3:19" ht="12.75">
      <c r="C35" s="60"/>
      <c r="D35" s="60"/>
      <c r="F35" s="61"/>
      <c r="G35" s="61"/>
      <c r="H35" s="61"/>
      <c r="I35" s="61"/>
      <c r="J35" s="61"/>
      <c r="K35" s="61"/>
      <c r="L35" s="61"/>
      <c r="M35" s="62"/>
      <c r="N35" s="62"/>
      <c r="O35" s="61"/>
      <c r="P35" s="61"/>
      <c r="Q35" s="61"/>
      <c r="R35" s="61"/>
      <c r="S35" s="61"/>
    </row>
    <row r="36" spans="3:19" ht="12.75">
      <c r="C36" s="60"/>
      <c r="D36" s="60"/>
      <c r="F36" s="61"/>
      <c r="G36" s="61"/>
      <c r="H36" s="61"/>
      <c r="I36" s="61"/>
      <c r="J36" s="61"/>
      <c r="K36" s="61"/>
      <c r="L36" s="61"/>
      <c r="M36" s="62"/>
      <c r="N36" s="62"/>
      <c r="O36" s="61"/>
      <c r="P36" s="61"/>
      <c r="Q36" s="61"/>
      <c r="R36" s="61"/>
      <c r="S36" s="61"/>
    </row>
    <row r="37" spans="3:19" ht="12.75">
      <c r="C37" s="60"/>
      <c r="D37" s="60"/>
      <c r="F37" s="61"/>
      <c r="G37" s="61"/>
      <c r="H37" s="61"/>
      <c r="I37" s="61"/>
      <c r="J37" s="61"/>
      <c r="K37" s="61"/>
      <c r="L37" s="61"/>
      <c r="M37" s="62"/>
      <c r="N37" s="62"/>
      <c r="O37" s="61"/>
      <c r="P37" s="61"/>
      <c r="Q37" s="61"/>
      <c r="R37" s="61"/>
      <c r="S37" s="61"/>
    </row>
    <row r="38" spans="3:19" ht="12.75">
      <c r="C38" s="60"/>
      <c r="D38" s="60"/>
      <c r="F38" s="61"/>
      <c r="G38" s="61"/>
      <c r="H38" s="61"/>
      <c r="I38" s="61"/>
      <c r="J38" s="61"/>
      <c r="K38" s="61"/>
      <c r="L38" s="61"/>
      <c r="M38" s="62"/>
      <c r="N38" s="62"/>
      <c r="O38" s="61"/>
      <c r="P38" s="61"/>
      <c r="Q38" s="61"/>
      <c r="R38" s="61"/>
      <c r="S38" s="61"/>
    </row>
    <row r="39" spans="3:19" ht="12.75">
      <c r="C39" s="60"/>
      <c r="D39" s="60"/>
      <c r="F39" s="61"/>
      <c r="G39" s="61"/>
      <c r="H39" s="61"/>
      <c r="I39" s="61"/>
      <c r="J39" s="61"/>
      <c r="K39" s="61"/>
      <c r="L39" s="61"/>
      <c r="M39" s="62"/>
      <c r="N39" s="62"/>
      <c r="O39" s="61"/>
      <c r="P39" s="61"/>
      <c r="Q39" s="61"/>
      <c r="R39" s="61"/>
      <c r="S39" s="61"/>
    </row>
    <row r="40" spans="3:19" ht="12.75">
      <c r="C40" s="60"/>
      <c r="D40" s="60"/>
      <c r="F40" s="61"/>
      <c r="G40" s="61"/>
      <c r="H40" s="61"/>
      <c r="I40" s="61"/>
      <c r="J40" s="61"/>
      <c r="K40" s="61"/>
      <c r="L40" s="61"/>
      <c r="M40" s="62"/>
      <c r="N40" s="62"/>
      <c r="O40" s="61"/>
      <c r="P40" s="61"/>
      <c r="Q40" s="61"/>
      <c r="R40" s="61"/>
      <c r="S40" s="61"/>
    </row>
    <row r="41" spans="3:19" ht="12.75">
      <c r="C41" s="60"/>
      <c r="D41" s="60"/>
      <c r="F41" s="61"/>
      <c r="G41" s="61"/>
      <c r="H41" s="61"/>
      <c r="I41" s="61"/>
      <c r="J41" s="61"/>
      <c r="K41" s="61"/>
      <c r="L41" s="61"/>
      <c r="M41" s="62"/>
      <c r="N41" s="62"/>
      <c r="O41" s="61"/>
      <c r="P41" s="61"/>
      <c r="Q41" s="61"/>
      <c r="R41" s="61"/>
      <c r="S41" s="61"/>
    </row>
    <row r="42" spans="3:19" ht="12.75">
      <c r="C42" s="60"/>
      <c r="D42" s="60"/>
      <c r="F42" s="61"/>
      <c r="G42" s="61"/>
      <c r="H42" s="61"/>
      <c r="I42" s="61"/>
      <c r="J42" s="61"/>
      <c r="K42" s="61"/>
      <c r="L42" s="61"/>
      <c r="M42" s="62"/>
      <c r="N42" s="62"/>
      <c r="O42" s="61"/>
      <c r="P42" s="61"/>
      <c r="Q42" s="61"/>
      <c r="R42" s="61"/>
      <c r="S42" s="61"/>
    </row>
    <row r="43" spans="3:19" ht="12.75">
      <c r="C43" s="60"/>
      <c r="D43" s="60"/>
      <c r="F43" s="61"/>
      <c r="G43" s="61"/>
      <c r="H43" s="61"/>
      <c r="I43" s="61"/>
      <c r="J43" s="61"/>
      <c r="K43" s="61"/>
      <c r="L43" s="61"/>
      <c r="M43" s="62"/>
      <c r="N43" s="62"/>
      <c r="O43" s="61"/>
      <c r="P43" s="61"/>
      <c r="Q43" s="61"/>
      <c r="R43" s="61"/>
      <c r="S43" s="61"/>
    </row>
    <row r="44" spans="3:19" ht="12.75">
      <c r="C44" s="60"/>
      <c r="D44" s="60"/>
      <c r="F44" s="61"/>
      <c r="G44" s="61"/>
      <c r="H44" s="61"/>
      <c r="I44" s="61"/>
      <c r="J44" s="61"/>
      <c r="K44" s="61"/>
      <c r="L44" s="61"/>
      <c r="M44" s="62"/>
      <c r="N44" s="62"/>
      <c r="O44" s="61"/>
      <c r="P44" s="61"/>
      <c r="Q44" s="61"/>
      <c r="R44" s="61"/>
      <c r="S44" s="61"/>
    </row>
    <row r="45" spans="3:19" ht="12.75">
      <c r="C45" s="60"/>
      <c r="D45" s="60"/>
      <c r="F45" s="61"/>
      <c r="G45" s="61"/>
      <c r="H45" s="61"/>
      <c r="I45" s="61"/>
      <c r="J45" s="61"/>
      <c r="K45" s="61"/>
      <c r="L45" s="61"/>
      <c r="M45" s="62"/>
      <c r="N45" s="62"/>
      <c r="O45" s="61"/>
      <c r="P45" s="61"/>
      <c r="Q45" s="61"/>
      <c r="R45" s="61"/>
      <c r="S45" s="61"/>
    </row>
    <row r="46" spans="3:19" ht="12.75">
      <c r="C46" s="60"/>
      <c r="D46" s="60"/>
      <c r="F46" s="61"/>
      <c r="G46" s="61"/>
      <c r="H46" s="61"/>
      <c r="I46" s="61"/>
      <c r="J46" s="61"/>
      <c r="K46" s="61"/>
      <c r="L46" s="61"/>
      <c r="M46" s="62"/>
      <c r="N46" s="62"/>
      <c r="O46" s="61"/>
      <c r="P46" s="61"/>
      <c r="Q46" s="61"/>
      <c r="R46" s="61"/>
      <c r="S46" s="61"/>
    </row>
    <row r="47" spans="3:19" ht="12.75">
      <c r="C47" s="60"/>
      <c r="D47" s="60"/>
      <c r="F47" s="61"/>
      <c r="G47" s="61"/>
      <c r="H47" s="61"/>
      <c r="I47" s="61"/>
      <c r="J47" s="61"/>
      <c r="K47" s="61"/>
      <c r="L47" s="61"/>
      <c r="M47" s="62"/>
      <c r="N47" s="62"/>
      <c r="O47" s="61"/>
      <c r="P47" s="61"/>
      <c r="Q47" s="61"/>
      <c r="R47" s="61"/>
      <c r="S47" s="61"/>
    </row>
    <row r="48" spans="3:19" ht="12.75">
      <c r="C48" s="66"/>
      <c r="D48" s="66"/>
      <c r="F48" s="61"/>
      <c r="G48" s="61"/>
      <c r="H48" s="61"/>
      <c r="I48" s="61"/>
      <c r="J48" s="61"/>
      <c r="K48" s="61"/>
      <c r="L48" s="61"/>
      <c r="M48" s="67"/>
      <c r="N48" s="67"/>
      <c r="O48" s="61"/>
      <c r="P48" s="61"/>
      <c r="Q48" s="61"/>
      <c r="R48" s="61"/>
      <c r="S48" s="61"/>
    </row>
    <row r="49" spans="3:19" ht="12.75">
      <c r="C49" s="66"/>
      <c r="D49" s="66"/>
      <c r="F49" s="61"/>
      <c r="G49" s="61"/>
      <c r="H49" s="61"/>
      <c r="I49" s="61"/>
      <c r="J49" s="61"/>
      <c r="K49" s="61"/>
      <c r="L49" s="61"/>
      <c r="M49" s="67"/>
      <c r="N49" s="67"/>
      <c r="O49" s="61"/>
      <c r="P49" s="61"/>
      <c r="Q49" s="61"/>
      <c r="R49" s="61"/>
      <c r="S49" s="61"/>
    </row>
    <row r="50" spans="3:19" ht="12.75">
      <c r="C50" s="66"/>
      <c r="D50" s="66"/>
      <c r="F50" s="61"/>
      <c r="G50" s="61"/>
      <c r="H50" s="61"/>
      <c r="I50" s="61"/>
      <c r="J50" s="61"/>
      <c r="K50" s="61"/>
      <c r="L50" s="61"/>
      <c r="M50" s="67"/>
      <c r="N50" s="67"/>
      <c r="O50" s="61"/>
      <c r="P50" s="61"/>
      <c r="Q50" s="61"/>
      <c r="R50" s="61"/>
      <c r="S50" s="61"/>
    </row>
    <row r="51" spans="3:19" ht="12.75">
      <c r="C51" s="66"/>
      <c r="D51" s="66"/>
      <c r="F51" s="61"/>
      <c r="G51" s="61"/>
      <c r="H51" s="61"/>
      <c r="I51" s="61"/>
      <c r="J51" s="61"/>
      <c r="K51" s="61"/>
      <c r="L51" s="61"/>
      <c r="M51" s="67"/>
      <c r="N51" s="67"/>
      <c r="O51" s="61"/>
      <c r="P51" s="61"/>
      <c r="Q51" s="61"/>
      <c r="R51" s="61"/>
      <c r="S51" s="61"/>
    </row>
    <row r="52" spans="3:19" ht="12.75">
      <c r="C52" s="66"/>
      <c r="D52" s="66"/>
      <c r="F52" s="61"/>
      <c r="G52" s="61"/>
      <c r="H52" s="61"/>
      <c r="I52" s="61"/>
      <c r="J52" s="61"/>
      <c r="K52" s="61"/>
      <c r="L52" s="61"/>
      <c r="M52" s="67"/>
      <c r="N52" s="67"/>
      <c r="O52" s="61"/>
      <c r="P52" s="61"/>
      <c r="Q52" s="61"/>
      <c r="R52" s="61"/>
      <c r="S52" s="61"/>
    </row>
    <row r="53" spans="3:19" ht="12.75">
      <c r="C53" s="66"/>
      <c r="D53" s="66"/>
      <c r="F53" s="61"/>
      <c r="G53" s="61"/>
      <c r="H53" s="61"/>
      <c r="I53" s="61"/>
      <c r="J53" s="61"/>
      <c r="K53" s="61"/>
      <c r="L53" s="61"/>
      <c r="M53" s="67"/>
      <c r="N53" s="67"/>
      <c r="O53" s="61"/>
      <c r="P53" s="61"/>
      <c r="Q53" s="61"/>
      <c r="R53" s="61"/>
      <c r="S53" s="61"/>
    </row>
    <row r="54" spans="3:19" ht="12.75">
      <c r="C54" s="66"/>
      <c r="D54" s="66"/>
      <c r="F54" s="61"/>
      <c r="G54" s="61"/>
      <c r="H54" s="61"/>
      <c r="I54" s="61"/>
      <c r="J54" s="61"/>
      <c r="K54" s="61"/>
      <c r="L54" s="61"/>
      <c r="M54" s="67"/>
      <c r="N54" s="67"/>
      <c r="O54" s="61"/>
      <c r="P54" s="61"/>
      <c r="Q54" s="61"/>
      <c r="R54" s="61"/>
      <c r="S54" s="61"/>
    </row>
    <row r="55" spans="3:19" ht="12.75">
      <c r="C55" s="66"/>
      <c r="D55" s="66"/>
      <c r="F55" s="61"/>
      <c r="G55" s="61"/>
      <c r="H55" s="61"/>
      <c r="I55" s="61"/>
      <c r="J55" s="61"/>
      <c r="K55" s="61"/>
      <c r="L55" s="61"/>
      <c r="M55" s="67"/>
      <c r="N55" s="67"/>
      <c r="O55" s="61"/>
      <c r="P55" s="61"/>
      <c r="Q55" s="61"/>
      <c r="R55" s="61"/>
      <c r="S55" s="61"/>
    </row>
    <row r="56" spans="3:19" ht="12.75">
      <c r="C56" s="66"/>
      <c r="D56" s="66"/>
      <c r="F56" s="61"/>
      <c r="G56" s="61"/>
      <c r="H56" s="61"/>
      <c r="I56" s="61"/>
      <c r="J56" s="61"/>
      <c r="K56" s="61"/>
      <c r="L56" s="61"/>
      <c r="M56" s="67"/>
      <c r="N56" s="67"/>
      <c r="O56" s="61"/>
      <c r="P56" s="61"/>
      <c r="Q56" s="61"/>
      <c r="R56" s="61"/>
      <c r="S56" s="61"/>
    </row>
    <row r="57" spans="3:19" ht="12.75">
      <c r="C57" s="66"/>
      <c r="D57" s="66"/>
      <c r="F57" s="61"/>
      <c r="G57" s="61"/>
      <c r="H57" s="61"/>
      <c r="I57" s="61"/>
      <c r="J57" s="61"/>
      <c r="K57" s="61"/>
      <c r="L57" s="61"/>
      <c r="M57" s="67"/>
      <c r="N57" s="67"/>
      <c r="O57" s="61"/>
      <c r="P57" s="61"/>
      <c r="Q57" s="61"/>
      <c r="R57" s="61"/>
      <c r="S57" s="61"/>
    </row>
    <row r="58" spans="3:19" ht="12.75">
      <c r="C58" s="66"/>
      <c r="D58" s="66"/>
      <c r="F58" s="61"/>
      <c r="G58" s="61"/>
      <c r="H58" s="61"/>
      <c r="I58" s="61"/>
      <c r="J58" s="61"/>
      <c r="K58" s="61"/>
      <c r="L58" s="61"/>
      <c r="M58" s="67"/>
      <c r="N58" s="67"/>
      <c r="O58" s="61"/>
      <c r="P58" s="61"/>
      <c r="Q58" s="61"/>
      <c r="R58" s="61"/>
      <c r="S58" s="61"/>
    </row>
    <row r="59" spans="3:19" ht="12.75">
      <c r="C59" s="66"/>
      <c r="D59" s="66"/>
      <c r="F59" s="61"/>
      <c r="G59" s="61"/>
      <c r="H59" s="61"/>
      <c r="I59" s="61"/>
      <c r="J59" s="61"/>
      <c r="K59" s="61"/>
      <c r="L59" s="61"/>
      <c r="M59" s="67"/>
      <c r="N59" s="67"/>
      <c r="O59" s="61"/>
      <c r="P59" s="61"/>
      <c r="Q59" s="61"/>
      <c r="R59" s="61"/>
      <c r="S59" s="61"/>
    </row>
    <row r="60" spans="3:19" ht="12.75">
      <c r="C60" s="66"/>
      <c r="D60" s="66"/>
      <c r="F60" s="61"/>
      <c r="G60" s="61"/>
      <c r="H60" s="61"/>
      <c r="I60" s="61"/>
      <c r="J60" s="61"/>
      <c r="K60" s="61"/>
      <c r="L60" s="61"/>
      <c r="M60" s="67"/>
      <c r="N60" s="67"/>
      <c r="O60" s="61"/>
      <c r="P60" s="61"/>
      <c r="Q60" s="61"/>
      <c r="R60" s="61"/>
      <c r="S60" s="61"/>
    </row>
    <row r="61" spans="3:19" ht="12.75">
      <c r="C61" s="66"/>
      <c r="D61" s="66"/>
      <c r="F61" s="61"/>
      <c r="G61" s="61"/>
      <c r="H61" s="61"/>
      <c r="I61" s="61"/>
      <c r="J61" s="61"/>
      <c r="K61" s="61"/>
      <c r="L61" s="61"/>
      <c r="M61" s="67"/>
      <c r="N61" s="67"/>
      <c r="O61" s="61"/>
      <c r="P61" s="61"/>
      <c r="Q61" s="61"/>
      <c r="R61" s="61"/>
      <c r="S61" s="61"/>
    </row>
    <row r="62" spans="3:19" ht="12.75">
      <c r="C62" s="66"/>
      <c r="D62" s="66"/>
      <c r="F62" s="61"/>
      <c r="G62" s="61"/>
      <c r="H62" s="61"/>
      <c r="I62" s="61"/>
      <c r="J62" s="61"/>
      <c r="K62" s="61"/>
      <c r="L62" s="61"/>
      <c r="M62" s="67"/>
      <c r="N62" s="67"/>
      <c r="O62" s="61"/>
      <c r="P62" s="61"/>
      <c r="Q62" s="61"/>
      <c r="R62" s="61"/>
      <c r="S62" s="61"/>
    </row>
    <row r="63" spans="3:19" ht="12.75">
      <c r="C63" s="66"/>
      <c r="D63" s="66"/>
      <c r="F63" s="61"/>
      <c r="G63" s="61"/>
      <c r="H63" s="61"/>
      <c r="I63" s="61"/>
      <c r="J63" s="61"/>
      <c r="K63" s="61"/>
      <c r="L63" s="61"/>
      <c r="M63" s="67"/>
      <c r="N63" s="67"/>
      <c r="O63" s="61"/>
      <c r="P63" s="61"/>
      <c r="Q63" s="61"/>
      <c r="R63" s="61"/>
      <c r="S63" s="61"/>
    </row>
    <row r="64" spans="3:19" ht="12.75">
      <c r="C64" s="66"/>
      <c r="D64" s="66"/>
      <c r="F64" s="61"/>
      <c r="G64" s="61"/>
      <c r="H64" s="61"/>
      <c r="I64" s="61"/>
      <c r="J64" s="61"/>
      <c r="K64" s="61"/>
      <c r="L64" s="61"/>
      <c r="M64" s="67"/>
      <c r="N64" s="67"/>
      <c r="O64" s="61"/>
      <c r="P64" s="61"/>
      <c r="Q64" s="61"/>
      <c r="R64" s="61"/>
      <c r="S64" s="61"/>
    </row>
    <row r="65" spans="3:19" ht="12.75">
      <c r="C65" s="66"/>
      <c r="D65" s="66"/>
      <c r="F65" s="61"/>
      <c r="G65" s="61"/>
      <c r="H65" s="61"/>
      <c r="I65" s="61"/>
      <c r="J65" s="61"/>
      <c r="K65" s="61"/>
      <c r="L65" s="61"/>
      <c r="M65" s="67"/>
      <c r="N65" s="67"/>
      <c r="O65" s="61"/>
      <c r="P65" s="61"/>
      <c r="Q65" s="61"/>
      <c r="R65" s="61"/>
      <c r="S65" s="61"/>
    </row>
    <row r="66" spans="3:19" ht="12.75">
      <c r="C66" s="66"/>
      <c r="D66" s="66"/>
      <c r="F66" s="61"/>
      <c r="G66" s="61"/>
      <c r="H66" s="61"/>
      <c r="I66" s="61"/>
      <c r="J66" s="61"/>
      <c r="K66" s="61"/>
      <c r="L66" s="61"/>
      <c r="M66" s="67"/>
      <c r="N66" s="67"/>
      <c r="O66" s="61"/>
      <c r="P66" s="61"/>
      <c r="Q66" s="61"/>
      <c r="R66" s="61"/>
      <c r="S66" s="61"/>
    </row>
    <row r="67" spans="3:19" ht="12.75">
      <c r="C67" s="66"/>
      <c r="D67" s="66"/>
      <c r="F67" s="61"/>
      <c r="G67" s="61"/>
      <c r="H67" s="61"/>
      <c r="I67" s="61"/>
      <c r="J67" s="61"/>
      <c r="K67" s="61"/>
      <c r="L67" s="61"/>
      <c r="M67" s="67"/>
      <c r="N67" s="67"/>
      <c r="O67" s="61"/>
      <c r="P67" s="61"/>
      <c r="Q67" s="61"/>
      <c r="R67" s="61"/>
      <c r="S67" s="61"/>
    </row>
    <row r="68" spans="3:19" ht="12.75">
      <c r="C68" s="66"/>
      <c r="D68" s="66"/>
      <c r="F68" s="61"/>
      <c r="G68" s="61"/>
      <c r="H68" s="61"/>
      <c r="I68" s="61"/>
      <c r="J68" s="61"/>
      <c r="K68" s="61"/>
      <c r="L68" s="61"/>
      <c r="M68" s="67"/>
      <c r="N68" s="67"/>
      <c r="O68" s="61"/>
      <c r="P68" s="61"/>
      <c r="Q68" s="61"/>
      <c r="R68" s="61"/>
      <c r="S68" s="61"/>
    </row>
    <row r="69" spans="3:19" ht="12.75">
      <c r="C69" s="66"/>
      <c r="D69" s="66"/>
      <c r="F69" s="61"/>
      <c r="G69" s="61"/>
      <c r="H69" s="61"/>
      <c r="I69" s="61"/>
      <c r="J69" s="61"/>
      <c r="K69" s="61"/>
      <c r="L69" s="61"/>
      <c r="M69" s="67"/>
      <c r="N69" s="67"/>
      <c r="O69" s="61"/>
      <c r="P69" s="61"/>
      <c r="Q69" s="61"/>
      <c r="R69" s="61"/>
      <c r="S69" s="61"/>
    </row>
    <row r="70" spans="3:19" ht="12.75">
      <c r="C70" s="66"/>
      <c r="D70" s="66"/>
      <c r="F70" s="61"/>
      <c r="G70" s="61"/>
      <c r="H70" s="61"/>
      <c r="I70" s="61"/>
      <c r="J70" s="61"/>
      <c r="K70" s="61"/>
      <c r="L70" s="61"/>
      <c r="M70" s="67"/>
      <c r="N70" s="67"/>
      <c r="O70" s="61"/>
      <c r="P70" s="61"/>
      <c r="Q70" s="61"/>
      <c r="R70" s="61"/>
      <c r="S70" s="61"/>
    </row>
    <row r="71" spans="3:19" ht="12.75">
      <c r="C71" s="66"/>
      <c r="D71" s="66"/>
      <c r="F71" s="61"/>
      <c r="G71" s="61"/>
      <c r="H71" s="61"/>
      <c r="I71" s="61"/>
      <c r="J71" s="61"/>
      <c r="K71" s="61"/>
      <c r="L71" s="61"/>
      <c r="M71" s="67"/>
      <c r="N71" s="67"/>
      <c r="O71" s="61"/>
      <c r="P71" s="61"/>
      <c r="Q71" s="61"/>
      <c r="R71" s="61"/>
      <c r="S71" s="61"/>
    </row>
    <row r="72" spans="3:19" ht="12.75">
      <c r="C72" s="66"/>
      <c r="D72" s="66"/>
      <c r="F72" s="61"/>
      <c r="G72" s="61"/>
      <c r="H72" s="61"/>
      <c r="I72" s="61"/>
      <c r="J72" s="61"/>
      <c r="K72" s="61"/>
      <c r="L72" s="61"/>
      <c r="M72" s="67"/>
      <c r="N72" s="67"/>
      <c r="O72" s="61"/>
      <c r="P72" s="61"/>
      <c r="Q72" s="61"/>
      <c r="R72" s="61"/>
      <c r="S72" s="61"/>
    </row>
    <row r="73" spans="3:19" ht="12.75">
      <c r="C73" s="66"/>
      <c r="D73" s="66"/>
      <c r="F73" s="61"/>
      <c r="G73" s="61"/>
      <c r="H73" s="61"/>
      <c r="I73" s="61"/>
      <c r="J73" s="61"/>
      <c r="K73" s="61"/>
      <c r="L73" s="61"/>
      <c r="M73" s="67"/>
      <c r="N73" s="67"/>
      <c r="O73" s="61"/>
      <c r="P73" s="61"/>
      <c r="Q73" s="61"/>
      <c r="R73" s="61"/>
      <c r="S73" s="61"/>
    </row>
    <row r="74" spans="3:19" ht="12.75">
      <c r="C74" s="66"/>
      <c r="D74" s="66"/>
      <c r="F74" s="61"/>
      <c r="G74" s="61"/>
      <c r="H74" s="61"/>
      <c r="I74" s="61"/>
      <c r="J74" s="61"/>
      <c r="K74" s="61"/>
      <c r="L74" s="61"/>
      <c r="M74" s="67"/>
      <c r="N74" s="67"/>
      <c r="O74" s="61"/>
      <c r="P74" s="61"/>
      <c r="Q74" s="61"/>
      <c r="R74" s="61"/>
      <c r="S74" s="61"/>
    </row>
    <row r="75" spans="3:19" ht="12.75">
      <c r="C75" s="66"/>
      <c r="D75" s="66"/>
      <c r="F75" s="61"/>
      <c r="G75" s="61"/>
      <c r="H75" s="61"/>
      <c r="I75" s="61"/>
      <c r="J75" s="61"/>
      <c r="K75" s="61"/>
      <c r="L75" s="61"/>
      <c r="M75" s="67"/>
      <c r="N75" s="67"/>
      <c r="O75" s="61"/>
      <c r="P75" s="61"/>
      <c r="Q75" s="61"/>
      <c r="R75" s="61"/>
      <c r="S75" s="61"/>
    </row>
    <row r="76" spans="3:19" ht="12.75">
      <c r="C76" s="66"/>
      <c r="D76" s="66"/>
      <c r="F76" s="61"/>
      <c r="G76" s="61"/>
      <c r="H76" s="61"/>
      <c r="I76" s="61"/>
      <c r="J76" s="61"/>
      <c r="K76" s="61"/>
      <c r="L76" s="61"/>
      <c r="M76" s="67"/>
      <c r="N76" s="67"/>
      <c r="O76" s="61"/>
      <c r="P76" s="61"/>
      <c r="Q76" s="61"/>
      <c r="R76" s="61"/>
      <c r="S76" s="61"/>
    </row>
    <row r="77" spans="3:19" ht="12.75">
      <c r="C77" s="66"/>
      <c r="D77" s="66"/>
      <c r="F77" s="61"/>
      <c r="G77" s="61"/>
      <c r="H77" s="61"/>
      <c r="I77" s="61"/>
      <c r="J77" s="61"/>
      <c r="K77" s="61"/>
      <c r="L77" s="61"/>
      <c r="M77" s="67"/>
      <c r="N77" s="67"/>
      <c r="O77" s="61"/>
      <c r="P77" s="61"/>
      <c r="Q77" s="61"/>
      <c r="R77" s="61"/>
      <c r="S77" s="61"/>
    </row>
    <row r="78" spans="3:19" ht="12.75">
      <c r="C78" s="66"/>
      <c r="D78" s="66"/>
      <c r="F78" s="61"/>
      <c r="G78" s="61"/>
      <c r="H78" s="61"/>
      <c r="I78" s="61"/>
      <c r="J78" s="61"/>
      <c r="K78" s="61"/>
      <c r="L78" s="61"/>
      <c r="M78" s="67"/>
      <c r="N78" s="67"/>
      <c r="O78" s="61"/>
      <c r="P78" s="61"/>
      <c r="Q78" s="61"/>
      <c r="R78" s="61"/>
      <c r="S78" s="61"/>
    </row>
    <row r="79" spans="3:19" ht="12.75">
      <c r="C79" s="66"/>
      <c r="D79" s="66"/>
      <c r="F79" s="61"/>
      <c r="G79" s="61"/>
      <c r="H79" s="61"/>
      <c r="I79" s="61"/>
      <c r="J79" s="61"/>
      <c r="K79" s="61"/>
      <c r="L79" s="61"/>
      <c r="M79" s="67"/>
      <c r="N79" s="67"/>
      <c r="O79" s="61"/>
      <c r="P79" s="61"/>
      <c r="Q79" s="61"/>
      <c r="R79" s="61"/>
      <c r="S79" s="61"/>
    </row>
    <row r="80" spans="3:19" ht="12.75">
      <c r="C80" s="66"/>
      <c r="D80" s="66"/>
      <c r="F80" s="61"/>
      <c r="G80" s="61"/>
      <c r="H80" s="61"/>
      <c r="I80" s="61"/>
      <c r="J80" s="61"/>
      <c r="K80" s="61"/>
      <c r="L80" s="61"/>
      <c r="M80" s="67"/>
      <c r="N80" s="67"/>
      <c r="O80" s="61"/>
      <c r="P80" s="61"/>
      <c r="Q80" s="61"/>
      <c r="R80" s="61"/>
      <c r="S80" s="61"/>
    </row>
    <row r="81" spans="3:19" ht="12.75">
      <c r="C81" s="66"/>
      <c r="D81" s="66"/>
      <c r="F81" s="61"/>
      <c r="G81" s="61"/>
      <c r="H81" s="61"/>
      <c r="I81" s="61"/>
      <c r="J81" s="61"/>
      <c r="K81" s="61"/>
      <c r="L81" s="61"/>
      <c r="M81" s="67"/>
      <c r="N81" s="67"/>
      <c r="O81" s="61"/>
      <c r="P81" s="61"/>
      <c r="Q81" s="61"/>
      <c r="R81" s="61"/>
      <c r="S81" s="61"/>
    </row>
    <row r="82" spans="3:19" ht="12.75">
      <c r="C82" s="66"/>
      <c r="D82" s="66"/>
      <c r="F82" s="61"/>
      <c r="G82" s="61"/>
      <c r="H82" s="61"/>
      <c r="I82" s="61"/>
      <c r="J82" s="61"/>
      <c r="K82" s="61"/>
      <c r="L82" s="61"/>
      <c r="M82" s="67"/>
      <c r="N82" s="67"/>
      <c r="O82" s="61"/>
      <c r="P82" s="61"/>
      <c r="Q82" s="61"/>
      <c r="R82" s="61"/>
      <c r="S82" s="61"/>
    </row>
    <row r="83" spans="3:19" ht="12.75">
      <c r="C83" s="66"/>
      <c r="D83" s="66"/>
      <c r="F83" s="61"/>
      <c r="G83" s="61"/>
      <c r="H83" s="61"/>
      <c r="I83" s="61"/>
      <c r="J83" s="61"/>
      <c r="K83" s="61"/>
      <c r="L83" s="61"/>
      <c r="M83" s="67"/>
      <c r="N83" s="67"/>
      <c r="O83" s="61"/>
      <c r="P83" s="61"/>
      <c r="Q83" s="61"/>
      <c r="R83" s="61"/>
      <c r="S83" s="61"/>
    </row>
    <row r="84" spans="3:19" ht="12.75">
      <c r="C84" s="66"/>
      <c r="D84" s="66"/>
      <c r="F84" s="61"/>
      <c r="G84" s="61"/>
      <c r="H84" s="61"/>
      <c r="I84" s="61"/>
      <c r="J84" s="61"/>
      <c r="K84" s="61"/>
      <c r="L84" s="61"/>
      <c r="M84" s="67"/>
      <c r="N84" s="67"/>
      <c r="O84" s="61"/>
      <c r="P84" s="61"/>
      <c r="Q84" s="61"/>
      <c r="R84" s="61"/>
      <c r="S84" s="61"/>
    </row>
    <row r="85" spans="3:19" ht="12.75">
      <c r="C85" s="66"/>
      <c r="D85" s="66"/>
      <c r="F85" s="61"/>
      <c r="G85" s="61"/>
      <c r="H85" s="61"/>
      <c r="I85" s="61"/>
      <c r="J85" s="61"/>
      <c r="K85" s="61"/>
      <c r="L85" s="61"/>
      <c r="M85" s="67"/>
      <c r="N85" s="67"/>
      <c r="O85" s="61"/>
      <c r="P85" s="61"/>
      <c r="Q85" s="61"/>
      <c r="R85" s="61"/>
      <c r="S85" s="61"/>
    </row>
    <row r="86" spans="3:19" ht="12.75">
      <c r="C86" s="66"/>
      <c r="D86" s="66"/>
      <c r="F86" s="61"/>
      <c r="G86" s="61"/>
      <c r="H86" s="61"/>
      <c r="I86" s="61"/>
      <c r="J86" s="61"/>
      <c r="K86" s="61"/>
      <c r="L86" s="61"/>
      <c r="M86" s="67"/>
      <c r="N86" s="67"/>
      <c r="O86" s="61"/>
      <c r="P86" s="61"/>
      <c r="Q86" s="61"/>
      <c r="R86" s="61"/>
      <c r="S86" s="61"/>
    </row>
    <row r="87" spans="3:19" ht="12.75">
      <c r="C87" s="66"/>
      <c r="D87" s="66"/>
      <c r="F87" s="61"/>
      <c r="G87" s="61"/>
      <c r="H87" s="61"/>
      <c r="I87" s="61"/>
      <c r="J87" s="61"/>
      <c r="K87" s="61"/>
      <c r="L87" s="61"/>
      <c r="M87" s="67"/>
      <c r="N87" s="67"/>
      <c r="O87" s="61"/>
      <c r="P87" s="61"/>
      <c r="Q87" s="61"/>
      <c r="R87" s="61"/>
      <c r="S87" s="61"/>
    </row>
    <row r="88" spans="3:19" ht="12.75">
      <c r="C88" s="66"/>
      <c r="D88" s="66"/>
      <c r="F88" s="61"/>
      <c r="G88" s="61"/>
      <c r="H88" s="61"/>
      <c r="I88" s="61"/>
      <c r="J88" s="61"/>
      <c r="K88" s="61"/>
      <c r="L88" s="61"/>
      <c r="M88" s="67"/>
      <c r="N88" s="67"/>
      <c r="O88" s="61"/>
      <c r="P88" s="61"/>
      <c r="Q88" s="61"/>
      <c r="R88" s="61"/>
      <c r="S88" s="61"/>
    </row>
    <row r="89" spans="3:19" ht="12.75">
      <c r="C89" s="66"/>
      <c r="D89" s="66"/>
      <c r="F89" s="61"/>
      <c r="G89" s="61"/>
      <c r="H89" s="61"/>
      <c r="I89" s="61"/>
      <c r="J89" s="61"/>
      <c r="K89" s="61"/>
      <c r="L89" s="61"/>
      <c r="M89" s="67"/>
      <c r="N89" s="67"/>
      <c r="O89" s="61"/>
      <c r="P89" s="61"/>
      <c r="Q89" s="61"/>
      <c r="R89" s="61"/>
      <c r="S89" s="61"/>
    </row>
    <row r="90" spans="3:19" ht="12.75">
      <c r="C90" s="66"/>
      <c r="D90" s="66"/>
      <c r="F90" s="61"/>
      <c r="G90" s="61"/>
      <c r="H90" s="61"/>
      <c r="I90" s="61"/>
      <c r="J90" s="61"/>
      <c r="K90" s="61"/>
      <c r="L90" s="61"/>
      <c r="M90" s="67"/>
      <c r="N90" s="67"/>
      <c r="O90" s="61"/>
      <c r="P90" s="61"/>
      <c r="Q90" s="61"/>
      <c r="R90" s="61"/>
      <c r="S90" s="61"/>
    </row>
    <row r="91" spans="3:19" ht="12.75">
      <c r="C91" s="66"/>
      <c r="D91" s="66"/>
      <c r="F91" s="61"/>
      <c r="G91" s="61"/>
      <c r="H91" s="61"/>
      <c r="I91" s="61"/>
      <c r="J91" s="61"/>
      <c r="K91" s="61"/>
      <c r="L91" s="61"/>
      <c r="M91" s="67"/>
      <c r="N91" s="67"/>
      <c r="O91" s="61"/>
      <c r="P91" s="61"/>
      <c r="Q91" s="61"/>
      <c r="R91" s="61"/>
      <c r="S91" s="61"/>
    </row>
    <row r="92" spans="3:19" ht="12.75">
      <c r="C92" s="66"/>
      <c r="D92" s="66"/>
      <c r="F92" s="61"/>
      <c r="G92" s="61"/>
      <c r="H92" s="61"/>
      <c r="I92" s="61"/>
      <c r="J92" s="61"/>
      <c r="K92" s="61"/>
      <c r="L92" s="61"/>
      <c r="M92" s="67"/>
      <c r="N92" s="67"/>
      <c r="O92" s="61"/>
      <c r="P92" s="61"/>
      <c r="Q92" s="61"/>
      <c r="R92" s="61"/>
      <c r="S92" s="61"/>
    </row>
    <row r="93" spans="3:19" ht="12.75">
      <c r="C93" s="66"/>
      <c r="D93" s="66"/>
      <c r="F93" s="61"/>
      <c r="G93" s="61"/>
      <c r="H93" s="61"/>
      <c r="I93" s="61"/>
      <c r="J93" s="61"/>
      <c r="K93" s="61"/>
      <c r="L93" s="61"/>
      <c r="M93" s="67"/>
      <c r="N93" s="67"/>
      <c r="O93" s="61"/>
      <c r="P93" s="61"/>
      <c r="Q93" s="61"/>
      <c r="R93" s="61"/>
      <c r="S93" s="61"/>
    </row>
    <row r="94" spans="3:19" ht="12.75">
      <c r="C94" s="66"/>
      <c r="D94" s="66"/>
      <c r="F94" s="61"/>
      <c r="G94" s="61"/>
      <c r="H94" s="61"/>
      <c r="I94" s="61"/>
      <c r="J94" s="61"/>
      <c r="K94" s="61"/>
      <c r="L94" s="61"/>
      <c r="M94" s="67"/>
      <c r="N94" s="67"/>
      <c r="O94" s="61"/>
      <c r="P94" s="61"/>
      <c r="Q94" s="61"/>
      <c r="R94" s="61"/>
      <c r="S94" s="61"/>
    </row>
    <row r="95" spans="3:19" ht="12.75">
      <c r="C95" s="66"/>
      <c r="D95" s="66"/>
      <c r="F95" s="61"/>
      <c r="G95" s="61"/>
      <c r="H95" s="61"/>
      <c r="I95" s="61"/>
      <c r="J95" s="61"/>
      <c r="K95" s="61"/>
      <c r="L95" s="61"/>
      <c r="M95" s="67"/>
      <c r="N95" s="67"/>
      <c r="O95" s="61"/>
      <c r="P95" s="61"/>
      <c r="Q95" s="61"/>
      <c r="R95" s="61"/>
      <c r="S95" s="61"/>
    </row>
    <row r="96" spans="3:19" ht="12.75">
      <c r="C96" s="66"/>
      <c r="D96" s="66"/>
      <c r="F96" s="61"/>
      <c r="G96" s="61"/>
      <c r="H96" s="61"/>
      <c r="I96" s="61"/>
      <c r="J96" s="61"/>
      <c r="K96" s="61"/>
      <c r="L96" s="61"/>
      <c r="M96" s="67"/>
      <c r="N96" s="67"/>
      <c r="O96" s="61"/>
      <c r="P96" s="61"/>
      <c r="Q96" s="61"/>
      <c r="R96" s="61"/>
      <c r="S96" s="61"/>
    </row>
    <row r="97" spans="3:19" ht="12.75">
      <c r="C97" s="66"/>
      <c r="D97" s="66"/>
      <c r="F97" s="61"/>
      <c r="G97" s="61"/>
      <c r="H97" s="61"/>
      <c r="I97" s="61"/>
      <c r="J97" s="61"/>
      <c r="K97" s="61"/>
      <c r="L97" s="61"/>
      <c r="M97" s="67"/>
      <c r="N97" s="67"/>
      <c r="O97" s="61"/>
      <c r="P97" s="61"/>
      <c r="Q97" s="61"/>
      <c r="R97" s="61"/>
      <c r="S97" s="61"/>
    </row>
    <row r="98" spans="3:19" ht="12.75">
      <c r="C98" s="66"/>
      <c r="D98" s="66"/>
      <c r="F98" s="61"/>
      <c r="G98" s="61"/>
      <c r="H98" s="61"/>
      <c r="I98" s="61"/>
      <c r="J98" s="61"/>
      <c r="K98" s="61"/>
      <c r="L98" s="61"/>
      <c r="M98" s="67"/>
      <c r="N98" s="67"/>
      <c r="O98" s="61"/>
      <c r="P98" s="61"/>
      <c r="Q98" s="61"/>
      <c r="R98" s="61"/>
      <c r="S98" s="61"/>
    </row>
    <row r="99" spans="3:19" ht="12.75">
      <c r="C99" s="66"/>
      <c r="D99" s="66"/>
      <c r="F99" s="61"/>
      <c r="G99" s="61"/>
      <c r="H99" s="61"/>
      <c r="I99" s="61"/>
      <c r="J99" s="61"/>
      <c r="K99" s="61"/>
      <c r="L99" s="61"/>
      <c r="M99" s="67"/>
      <c r="N99" s="67"/>
      <c r="O99" s="61"/>
      <c r="P99" s="61"/>
      <c r="Q99" s="61"/>
      <c r="R99" s="61"/>
      <c r="S99" s="61"/>
    </row>
    <row r="100" spans="3:19" ht="12.75">
      <c r="C100" s="66"/>
      <c r="D100" s="66"/>
      <c r="F100" s="61"/>
      <c r="G100" s="61"/>
      <c r="H100" s="61"/>
      <c r="I100" s="61"/>
      <c r="J100" s="61"/>
      <c r="K100" s="61"/>
      <c r="L100" s="61"/>
      <c r="M100" s="67"/>
      <c r="N100" s="67"/>
      <c r="O100" s="61"/>
      <c r="P100" s="61"/>
      <c r="Q100" s="61"/>
      <c r="R100" s="61"/>
      <c r="S100" s="61"/>
    </row>
    <row r="101" spans="3:19" ht="12.75">
      <c r="C101" s="66"/>
      <c r="D101" s="66"/>
      <c r="F101" s="61"/>
      <c r="G101" s="61"/>
      <c r="H101" s="61"/>
      <c r="I101" s="61"/>
      <c r="J101" s="61"/>
      <c r="K101" s="61"/>
      <c r="L101" s="61"/>
      <c r="M101" s="67"/>
      <c r="N101" s="67"/>
      <c r="O101" s="61"/>
      <c r="P101" s="61"/>
      <c r="Q101" s="61"/>
      <c r="R101" s="61"/>
      <c r="S101" s="61"/>
    </row>
    <row r="102" spans="3:19" ht="12.75">
      <c r="C102" s="66"/>
      <c r="D102" s="66"/>
      <c r="F102" s="61"/>
      <c r="G102" s="61"/>
      <c r="H102" s="61"/>
      <c r="I102" s="61"/>
      <c r="J102" s="61"/>
      <c r="K102" s="61"/>
      <c r="L102" s="61"/>
      <c r="M102" s="67"/>
      <c r="N102" s="67"/>
      <c r="O102" s="61"/>
      <c r="P102" s="61"/>
      <c r="Q102" s="61"/>
      <c r="R102" s="61"/>
      <c r="S102" s="61"/>
    </row>
    <row r="103" spans="3:19" ht="12.75">
      <c r="C103" s="66"/>
      <c r="D103" s="66"/>
      <c r="F103" s="61"/>
      <c r="G103" s="61"/>
      <c r="H103" s="61"/>
      <c r="I103" s="61"/>
      <c r="J103" s="61"/>
      <c r="K103" s="61"/>
      <c r="L103" s="61"/>
      <c r="M103" s="67"/>
      <c r="N103" s="67"/>
      <c r="O103" s="61"/>
      <c r="P103" s="61"/>
      <c r="Q103" s="61"/>
      <c r="R103" s="61"/>
      <c r="S103" s="61"/>
    </row>
    <row r="104" spans="3:19" ht="12.75">
      <c r="C104" s="66"/>
      <c r="D104" s="66"/>
      <c r="F104" s="61"/>
      <c r="G104" s="61"/>
      <c r="H104" s="61"/>
      <c r="I104" s="61"/>
      <c r="J104" s="61"/>
      <c r="K104" s="61"/>
      <c r="L104" s="61"/>
      <c r="M104" s="67"/>
      <c r="N104" s="67"/>
      <c r="O104" s="61"/>
      <c r="P104" s="61"/>
      <c r="Q104" s="61"/>
      <c r="R104" s="61"/>
      <c r="S104" s="61"/>
    </row>
    <row r="105" spans="3:19" ht="12.75">
      <c r="C105" s="66"/>
      <c r="D105" s="66"/>
      <c r="F105" s="61"/>
      <c r="G105" s="61"/>
      <c r="H105" s="61"/>
      <c r="I105" s="61"/>
      <c r="J105" s="61"/>
      <c r="K105" s="61"/>
      <c r="L105" s="61"/>
      <c r="M105" s="67"/>
      <c r="N105" s="67"/>
      <c r="O105" s="61"/>
      <c r="P105" s="61"/>
      <c r="Q105" s="61"/>
      <c r="R105" s="61"/>
      <c r="S105" s="61"/>
    </row>
    <row r="106" spans="3:19" ht="12.75">
      <c r="C106" s="66"/>
      <c r="D106" s="66"/>
      <c r="F106" s="61"/>
      <c r="G106" s="61"/>
      <c r="H106" s="61"/>
      <c r="I106" s="61"/>
      <c r="J106" s="61"/>
      <c r="K106" s="61"/>
      <c r="L106" s="61"/>
      <c r="M106" s="67"/>
      <c r="N106" s="67"/>
      <c r="O106" s="61"/>
      <c r="P106" s="61"/>
      <c r="Q106" s="61"/>
      <c r="R106" s="61"/>
      <c r="S106" s="61"/>
    </row>
    <row r="107" spans="3:19" ht="12.75">
      <c r="C107" s="66"/>
      <c r="D107" s="66"/>
      <c r="F107" s="61"/>
      <c r="G107" s="61"/>
      <c r="H107" s="61"/>
      <c r="I107" s="61"/>
      <c r="J107" s="61"/>
      <c r="K107" s="61"/>
      <c r="L107" s="61"/>
      <c r="M107" s="67"/>
      <c r="N107" s="67"/>
      <c r="O107" s="61"/>
      <c r="P107" s="61"/>
      <c r="Q107" s="61"/>
      <c r="R107" s="61"/>
      <c r="S107" s="61"/>
    </row>
    <row r="108" spans="3:19" ht="12.75">
      <c r="C108" s="66"/>
      <c r="D108" s="66"/>
      <c r="F108" s="61"/>
      <c r="G108" s="61"/>
      <c r="H108" s="61"/>
      <c r="I108" s="61"/>
      <c r="J108" s="61"/>
      <c r="K108" s="61"/>
      <c r="L108" s="61"/>
      <c r="M108" s="67"/>
      <c r="N108" s="67"/>
      <c r="O108" s="61"/>
      <c r="P108" s="61"/>
      <c r="Q108" s="61"/>
      <c r="R108" s="61"/>
      <c r="S108" s="61"/>
    </row>
    <row r="109" spans="3:19" ht="12.75">
      <c r="C109" s="66"/>
      <c r="D109" s="66"/>
      <c r="F109" s="61"/>
      <c r="G109" s="61"/>
      <c r="H109" s="61"/>
      <c r="I109" s="61"/>
      <c r="J109" s="61"/>
      <c r="K109" s="61"/>
      <c r="L109" s="61"/>
      <c r="M109" s="67"/>
      <c r="N109" s="67"/>
      <c r="O109" s="61"/>
      <c r="P109" s="61"/>
      <c r="Q109" s="61"/>
      <c r="R109" s="61"/>
      <c r="S109" s="61"/>
    </row>
    <row r="110" spans="3:19" ht="12.75">
      <c r="C110" s="66"/>
      <c r="D110" s="66"/>
      <c r="F110" s="61"/>
      <c r="G110" s="61"/>
      <c r="H110" s="61"/>
      <c r="I110" s="61"/>
      <c r="J110" s="61"/>
      <c r="K110" s="61"/>
      <c r="L110" s="61"/>
      <c r="M110" s="67"/>
      <c r="N110" s="67"/>
      <c r="O110" s="61"/>
      <c r="P110" s="61"/>
      <c r="Q110" s="61"/>
      <c r="R110" s="61"/>
      <c r="S110" s="61"/>
    </row>
    <row r="111" spans="3:19" ht="12.75">
      <c r="C111" s="66"/>
      <c r="D111" s="66"/>
      <c r="F111" s="61"/>
      <c r="G111" s="61"/>
      <c r="H111" s="61"/>
      <c r="I111" s="61"/>
      <c r="J111" s="61"/>
      <c r="K111" s="61"/>
      <c r="L111" s="61"/>
      <c r="M111" s="67"/>
      <c r="N111" s="67"/>
      <c r="O111" s="61"/>
      <c r="P111" s="61"/>
      <c r="Q111" s="61"/>
      <c r="R111" s="61"/>
      <c r="S111" s="61"/>
    </row>
    <row r="112" spans="3:19" ht="12.75">
      <c r="C112" s="66"/>
      <c r="D112" s="66"/>
      <c r="F112" s="61"/>
      <c r="G112" s="61"/>
      <c r="H112" s="61"/>
      <c r="I112" s="61"/>
      <c r="J112" s="61"/>
      <c r="K112" s="61"/>
      <c r="L112" s="61"/>
      <c r="M112" s="67"/>
      <c r="N112" s="67"/>
      <c r="O112" s="61"/>
      <c r="P112" s="61"/>
      <c r="Q112" s="61"/>
      <c r="R112" s="61"/>
      <c r="S112" s="61"/>
    </row>
    <row r="113" spans="3:19" ht="12.75">
      <c r="C113" s="66"/>
      <c r="D113" s="66"/>
      <c r="F113" s="61"/>
      <c r="G113" s="61"/>
      <c r="H113" s="61"/>
      <c r="I113" s="61"/>
      <c r="J113" s="61"/>
      <c r="K113" s="61"/>
      <c r="L113" s="61"/>
      <c r="M113" s="67"/>
      <c r="N113" s="67"/>
      <c r="O113" s="61"/>
      <c r="P113" s="61"/>
      <c r="Q113" s="61"/>
      <c r="R113" s="61"/>
      <c r="S113" s="61"/>
    </row>
    <row r="114" spans="3:19" ht="12.75">
      <c r="C114" s="66"/>
      <c r="D114" s="66"/>
      <c r="F114" s="61"/>
      <c r="G114" s="61"/>
      <c r="H114" s="61"/>
      <c r="I114" s="61"/>
      <c r="J114" s="61"/>
      <c r="K114" s="61"/>
      <c r="L114" s="61"/>
      <c r="M114" s="67"/>
      <c r="N114" s="67"/>
      <c r="O114" s="61"/>
      <c r="P114" s="61"/>
      <c r="Q114" s="61"/>
      <c r="R114" s="61"/>
      <c r="S114" s="61"/>
    </row>
    <row r="115" spans="3:19" ht="12.75">
      <c r="C115" s="66"/>
      <c r="D115" s="66"/>
      <c r="F115" s="61"/>
      <c r="G115" s="61"/>
      <c r="H115" s="61"/>
      <c r="I115" s="61"/>
      <c r="J115" s="61"/>
      <c r="K115" s="61"/>
      <c r="L115" s="61"/>
      <c r="M115" s="67"/>
      <c r="N115" s="67"/>
      <c r="O115" s="61"/>
      <c r="P115" s="61"/>
      <c r="Q115" s="61"/>
      <c r="R115" s="61"/>
      <c r="S115" s="61"/>
    </row>
    <row r="116" spans="3:19" ht="12.75">
      <c r="C116" s="66"/>
      <c r="D116" s="66"/>
      <c r="F116" s="61"/>
      <c r="G116" s="61"/>
      <c r="H116" s="61"/>
      <c r="I116" s="61"/>
      <c r="J116" s="61"/>
      <c r="K116" s="61"/>
      <c r="L116" s="61"/>
      <c r="M116" s="67"/>
      <c r="N116" s="67"/>
      <c r="O116" s="61"/>
      <c r="P116" s="61"/>
      <c r="Q116" s="61"/>
      <c r="R116" s="61"/>
      <c r="S116" s="61"/>
    </row>
    <row r="117" spans="3:19" ht="12.75">
      <c r="C117" s="66"/>
      <c r="D117" s="66"/>
      <c r="F117" s="61"/>
      <c r="G117" s="61"/>
      <c r="H117" s="61"/>
      <c r="I117" s="61"/>
      <c r="J117" s="61"/>
      <c r="K117" s="61"/>
      <c r="L117" s="61"/>
      <c r="M117" s="67"/>
      <c r="N117" s="67"/>
      <c r="O117" s="61"/>
      <c r="P117" s="61"/>
      <c r="Q117" s="61"/>
      <c r="R117" s="61"/>
      <c r="S117" s="61"/>
    </row>
    <row r="118" spans="3:19" ht="12.75">
      <c r="C118" s="66"/>
      <c r="D118" s="66"/>
      <c r="F118" s="61"/>
      <c r="G118" s="61"/>
      <c r="H118" s="61"/>
      <c r="I118" s="61"/>
      <c r="J118" s="61"/>
      <c r="K118" s="61"/>
      <c r="L118" s="61"/>
      <c r="M118" s="67"/>
      <c r="N118" s="67"/>
      <c r="O118" s="61"/>
      <c r="P118" s="61"/>
      <c r="Q118" s="61"/>
      <c r="R118" s="61"/>
      <c r="S118" s="61"/>
    </row>
    <row r="119" spans="3:19" ht="12.75">
      <c r="C119" s="66"/>
      <c r="D119" s="66"/>
      <c r="F119" s="61"/>
      <c r="G119" s="61"/>
      <c r="H119" s="61"/>
      <c r="I119" s="61"/>
      <c r="J119" s="61"/>
      <c r="K119" s="61"/>
      <c r="L119" s="61"/>
      <c r="M119" s="67"/>
      <c r="N119" s="67"/>
      <c r="O119" s="61"/>
      <c r="P119" s="61"/>
      <c r="Q119" s="61"/>
      <c r="R119" s="61"/>
      <c r="S119" s="61"/>
    </row>
    <row r="120" spans="3:19" ht="12.75">
      <c r="C120" s="66"/>
      <c r="D120" s="66"/>
      <c r="F120" s="61"/>
      <c r="G120" s="61"/>
      <c r="H120" s="61"/>
      <c r="I120" s="61"/>
      <c r="J120" s="61"/>
      <c r="K120" s="61"/>
      <c r="L120" s="61"/>
      <c r="M120" s="67"/>
      <c r="N120" s="67"/>
      <c r="O120" s="61"/>
      <c r="P120" s="61"/>
      <c r="Q120" s="61"/>
      <c r="R120" s="61"/>
      <c r="S120" s="61"/>
    </row>
    <row r="121" spans="3:19" ht="12.75">
      <c r="C121" s="66"/>
      <c r="D121" s="66"/>
      <c r="F121" s="61"/>
      <c r="G121" s="61"/>
      <c r="H121" s="61"/>
      <c r="I121" s="61"/>
      <c r="J121" s="61"/>
      <c r="K121" s="61"/>
      <c r="L121" s="61"/>
      <c r="M121" s="67"/>
      <c r="N121" s="67"/>
      <c r="O121" s="61"/>
      <c r="P121" s="61"/>
      <c r="Q121" s="61"/>
      <c r="R121" s="61"/>
      <c r="S121" s="61"/>
    </row>
    <row r="122" spans="3:19" ht="12.75">
      <c r="C122" s="66"/>
      <c r="D122" s="66"/>
      <c r="F122" s="61"/>
      <c r="G122" s="61"/>
      <c r="H122" s="61"/>
      <c r="I122" s="61"/>
      <c r="J122" s="61"/>
      <c r="K122" s="61"/>
      <c r="L122" s="61"/>
      <c r="M122" s="67"/>
      <c r="N122" s="67"/>
      <c r="O122" s="61"/>
      <c r="P122" s="61"/>
      <c r="Q122" s="61"/>
      <c r="R122" s="61"/>
      <c r="S122" s="61"/>
    </row>
    <row r="123" spans="3:19" ht="12.75">
      <c r="C123" s="66"/>
      <c r="D123" s="66"/>
      <c r="F123" s="61"/>
      <c r="G123" s="61"/>
      <c r="H123" s="61"/>
      <c r="I123" s="61"/>
      <c r="J123" s="61"/>
      <c r="K123" s="61"/>
      <c r="L123" s="61"/>
      <c r="M123" s="67"/>
      <c r="N123" s="67"/>
      <c r="O123" s="61"/>
      <c r="P123" s="61"/>
      <c r="Q123" s="61"/>
      <c r="R123" s="61"/>
      <c r="S123" s="61"/>
    </row>
    <row r="124" spans="3:19" ht="12.75">
      <c r="C124" s="66"/>
      <c r="D124" s="66"/>
      <c r="F124" s="61"/>
      <c r="G124" s="61"/>
      <c r="H124" s="61"/>
      <c r="I124" s="61"/>
      <c r="J124" s="61"/>
      <c r="K124" s="61"/>
      <c r="L124" s="61"/>
      <c r="M124" s="67"/>
      <c r="N124" s="67"/>
      <c r="O124" s="61"/>
      <c r="P124" s="61"/>
      <c r="Q124" s="61"/>
      <c r="R124" s="61"/>
      <c r="S124" s="61"/>
    </row>
    <row r="125" spans="3:19" ht="12.75">
      <c r="C125" s="66"/>
      <c r="D125" s="66"/>
      <c r="F125" s="61"/>
      <c r="G125" s="61"/>
      <c r="H125" s="61"/>
      <c r="I125" s="61"/>
      <c r="J125" s="61"/>
      <c r="K125" s="61"/>
      <c r="L125" s="61"/>
      <c r="M125" s="67"/>
      <c r="N125" s="67"/>
      <c r="O125" s="61"/>
      <c r="P125" s="61"/>
      <c r="Q125" s="61"/>
      <c r="R125" s="61"/>
      <c r="S125" s="61"/>
    </row>
    <row r="126" spans="3:19" ht="12.75">
      <c r="C126" s="66"/>
      <c r="D126" s="66"/>
      <c r="F126" s="61"/>
      <c r="G126" s="61"/>
      <c r="H126" s="61"/>
      <c r="I126" s="61"/>
      <c r="J126" s="61"/>
      <c r="K126" s="61"/>
      <c r="L126" s="61"/>
      <c r="M126" s="67"/>
      <c r="N126" s="67"/>
      <c r="O126" s="61"/>
      <c r="P126" s="61"/>
      <c r="Q126" s="61"/>
      <c r="R126" s="61"/>
      <c r="S126" s="61"/>
    </row>
    <row r="127" spans="3:19" ht="12.75">
      <c r="C127" s="66"/>
      <c r="D127" s="66"/>
      <c r="F127" s="61"/>
      <c r="G127" s="61"/>
      <c r="H127" s="61"/>
      <c r="I127" s="61"/>
      <c r="J127" s="61"/>
      <c r="K127" s="61"/>
      <c r="L127" s="61"/>
      <c r="M127" s="67"/>
      <c r="N127" s="67"/>
      <c r="O127" s="61"/>
      <c r="P127" s="61"/>
      <c r="Q127" s="61"/>
      <c r="R127" s="61"/>
      <c r="S127" s="61"/>
    </row>
    <row r="128" spans="3:19" ht="12.75">
      <c r="C128" s="66"/>
      <c r="D128" s="66"/>
      <c r="F128" s="61"/>
      <c r="G128" s="61"/>
      <c r="H128" s="61"/>
      <c r="I128" s="61"/>
      <c r="J128" s="61"/>
      <c r="K128" s="61"/>
      <c r="L128" s="61"/>
      <c r="M128" s="67"/>
      <c r="N128" s="67"/>
      <c r="O128" s="61"/>
      <c r="P128" s="61"/>
      <c r="Q128" s="61"/>
      <c r="R128" s="61"/>
      <c r="S128" s="61"/>
    </row>
    <row r="129" spans="3:19" ht="12.75">
      <c r="C129" s="66"/>
      <c r="D129" s="66"/>
      <c r="F129" s="61"/>
      <c r="G129" s="61"/>
      <c r="H129" s="61"/>
      <c r="I129" s="61"/>
      <c r="J129" s="61"/>
      <c r="K129" s="61"/>
      <c r="L129" s="61"/>
      <c r="M129" s="67"/>
      <c r="N129" s="67"/>
      <c r="O129" s="61"/>
      <c r="P129" s="61"/>
      <c r="Q129" s="61"/>
      <c r="R129" s="61"/>
      <c r="S129" s="61"/>
    </row>
    <row r="130" spans="3:19" ht="12.75">
      <c r="C130" s="66"/>
      <c r="D130" s="66"/>
      <c r="F130" s="61"/>
      <c r="G130" s="61"/>
      <c r="H130" s="61"/>
      <c r="I130" s="61"/>
      <c r="J130" s="61"/>
      <c r="K130" s="61"/>
      <c r="L130" s="61"/>
      <c r="M130" s="67"/>
      <c r="N130" s="67"/>
      <c r="O130" s="61"/>
      <c r="P130" s="61"/>
      <c r="Q130" s="61"/>
      <c r="R130" s="61"/>
      <c r="S130" s="61"/>
    </row>
    <row r="131" spans="3:19" ht="12.75">
      <c r="C131" s="66"/>
      <c r="D131" s="66"/>
      <c r="F131" s="61"/>
      <c r="G131" s="61"/>
      <c r="H131" s="61"/>
      <c r="I131" s="61"/>
      <c r="J131" s="61"/>
      <c r="K131" s="61"/>
      <c r="L131" s="61"/>
      <c r="M131" s="67"/>
      <c r="N131" s="67"/>
      <c r="O131" s="61"/>
      <c r="P131" s="61"/>
      <c r="Q131" s="61"/>
      <c r="R131" s="61"/>
      <c r="S131" s="61"/>
    </row>
    <row r="132" spans="3:19" ht="12.75">
      <c r="C132" s="66"/>
      <c r="D132" s="66"/>
      <c r="F132" s="61"/>
      <c r="G132" s="61"/>
      <c r="H132" s="61"/>
      <c r="I132" s="61"/>
      <c r="J132" s="61"/>
      <c r="K132" s="61"/>
      <c r="L132" s="61"/>
      <c r="M132" s="67"/>
      <c r="N132" s="67"/>
      <c r="O132" s="61"/>
      <c r="P132" s="61"/>
      <c r="Q132" s="61"/>
      <c r="R132" s="61"/>
      <c r="S132" s="61"/>
    </row>
    <row r="133" spans="3:19" ht="12.75">
      <c r="C133" s="66"/>
      <c r="D133" s="66"/>
      <c r="F133" s="61"/>
      <c r="G133" s="61"/>
      <c r="H133" s="61"/>
      <c r="I133" s="61"/>
      <c r="J133" s="61"/>
      <c r="K133" s="61"/>
      <c r="L133" s="61"/>
      <c r="M133" s="67"/>
      <c r="N133" s="67"/>
      <c r="O133" s="61"/>
      <c r="P133" s="61"/>
      <c r="Q133" s="61"/>
      <c r="R133" s="61"/>
      <c r="S133" s="61"/>
    </row>
    <row r="134" spans="3:19" ht="12.75">
      <c r="C134" s="66"/>
      <c r="D134" s="66"/>
      <c r="F134" s="61"/>
      <c r="G134" s="61"/>
      <c r="H134" s="61"/>
      <c r="I134" s="61"/>
      <c r="J134" s="61"/>
      <c r="K134" s="61"/>
      <c r="L134" s="61"/>
      <c r="M134" s="67"/>
      <c r="N134" s="67"/>
      <c r="O134" s="61"/>
      <c r="P134" s="61"/>
      <c r="Q134" s="61"/>
      <c r="R134" s="61"/>
      <c r="S134" s="61"/>
    </row>
    <row r="135" spans="3:19" ht="12.75">
      <c r="C135" s="66"/>
      <c r="D135" s="66"/>
      <c r="F135" s="61"/>
      <c r="G135" s="61"/>
      <c r="H135" s="61"/>
      <c r="I135" s="61"/>
      <c r="J135" s="61"/>
      <c r="K135" s="61"/>
      <c r="L135" s="61"/>
      <c r="M135" s="67"/>
      <c r="N135" s="67"/>
      <c r="O135" s="61"/>
      <c r="P135" s="61"/>
      <c r="Q135" s="61"/>
      <c r="R135" s="61"/>
      <c r="S135" s="61"/>
    </row>
    <row r="136" spans="3:19" ht="12.75">
      <c r="C136" s="66"/>
      <c r="D136" s="66"/>
      <c r="F136" s="61"/>
      <c r="G136" s="61"/>
      <c r="H136" s="61"/>
      <c r="I136" s="61"/>
      <c r="J136" s="61"/>
      <c r="K136" s="61"/>
      <c r="L136" s="61"/>
      <c r="M136" s="67"/>
      <c r="N136" s="67"/>
      <c r="O136" s="61"/>
      <c r="P136" s="61"/>
      <c r="Q136" s="61"/>
      <c r="R136" s="61"/>
      <c r="S136" s="61"/>
    </row>
    <row r="137" spans="3:19" ht="12.75">
      <c r="C137" s="66"/>
      <c r="D137" s="66"/>
      <c r="F137" s="61"/>
      <c r="G137" s="61"/>
      <c r="H137" s="61"/>
      <c r="I137" s="61"/>
      <c r="J137" s="61"/>
      <c r="K137" s="61"/>
      <c r="L137" s="61"/>
      <c r="M137" s="67"/>
      <c r="N137" s="67"/>
      <c r="O137" s="61"/>
      <c r="P137" s="61"/>
      <c r="Q137" s="61"/>
      <c r="R137" s="61"/>
      <c r="S137" s="61"/>
    </row>
    <row r="138" spans="3:19" ht="12.75">
      <c r="C138" s="66"/>
      <c r="D138" s="66"/>
      <c r="F138" s="61"/>
      <c r="G138" s="61"/>
      <c r="H138" s="61"/>
      <c r="I138" s="61"/>
      <c r="J138" s="61"/>
      <c r="K138" s="61"/>
      <c r="L138" s="61"/>
      <c r="M138" s="67"/>
      <c r="N138" s="67"/>
      <c r="O138" s="61"/>
      <c r="P138" s="61"/>
      <c r="Q138" s="61"/>
      <c r="R138" s="61"/>
      <c r="S138" s="61"/>
    </row>
    <row r="139" spans="3:19" ht="12.75">
      <c r="C139" s="66"/>
      <c r="D139" s="66"/>
      <c r="F139" s="61"/>
      <c r="G139" s="61"/>
      <c r="H139" s="61"/>
      <c r="I139" s="61"/>
      <c r="J139" s="61"/>
      <c r="K139" s="61"/>
      <c r="L139" s="61"/>
      <c r="M139" s="67"/>
      <c r="N139" s="67"/>
      <c r="O139" s="61"/>
      <c r="P139" s="61"/>
      <c r="Q139" s="61"/>
      <c r="R139" s="61"/>
      <c r="S139" s="61"/>
    </row>
    <row r="140" spans="3:19" ht="12.75">
      <c r="C140" s="66"/>
      <c r="D140" s="66"/>
      <c r="F140" s="61"/>
      <c r="G140" s="61"/>
      <c r="H140" s="61"/>
      <c r="I140" s="61"/>
      <c r="J140" s="61"/>
      <c r="K140" s="61"/>
      <c r="L140" s="61"/>
      <c r="M140" s="67"/>
      <c r="N140" s="67"/>
      <c r="O140" s="61"/>
      <c r="P140" s="61"/>
      <c r="Q140" s="61"/>
      <c r="R140" s="61"/>
      <c r="S140" s="61"/>
    </row>
    <row r="141" spans="3:19" ht="12.75">
      <c r="C141" s="66"/>
      <c r="D141" s="66"/>
      <c r="F141" s="61"/>
      <c r="G141" s="61"/>
      <c r="H141" s="61"/>
      <c r="I141" s="61"/>
      <c r="J141" s="61"/>
      <c r="K141" s="61"/>
      <c r="L141" s="61"/>
      <c r="M141" s="67"/>
      <c r="N141" s="67"/>
      <c r="O141" s="61"/>
      <c r="P141" s="61"/>
      <c r="Q141" s="61"/>
      <c r="R141" s="61"/>
      <c r="S141" s="61"/>
    </row>
    <row r="142" spans="3:19" ht="12.75">
      <c r="C142" s="66"/>
      <c r="D142" s="66"/>
      <c r="F142" s="61"/>
      <c r="G142" s="61"/>
      <c r="H142" s="61"/>
      <c r="I142" s="61"/>
      <c r="J142" s="61"/>
      <c r="K142" s="61"/>
      <c r="L142" s="61"/>
      <c r="M142" s="67"/>
      <c r="N142" s="67"/>
      <c r="O142" s="61"/>
      <c r="P142" s="61"/>
      <c r="Q142" s="61"/>
      <c r="R142" s="61"/>
      <c r="S142" s="61"/>
    </row>
    <row r="143" spans="3:19" ht="12.75">
      <c r="C143" s="66"/>
      <c r="D143" s="66"/>
      <c r="F143" s="61"/>
      <c r="G143" s="61"/>
      <c r="H143" s="61"/>
      <c r="I143" s="61"/>
      <c r="J143" s="61"/>
      <c r="K143" s="61"/>
      <c r="L143" s="61"/>
      <c r="M143" s="67"/>
      <c r="N143" s="67"/>
      <c r="O143" s="61"/>
      <c r="P143" s="61"/>
      <c r="Q143" s="61"/>
      <c r="R143" s="61"/>
      <c r="S143" s="61"/>
    </row>
    <row r="144" spans="3:19" ht="12.75">
      <c r="C144" s="66"/>
      <c r="D144" s="66"/>
      <c r="F144" s="61"/>
      <c r="G144" s="61"/>
      <c r="H144" s="61"/>
      <c r="I144" s="61"/>
      <c r="J144" s="61"/>
      <c r="K144" s="61"/>
      <c r="L144" s="61"/>
      <c r="M144" s="67"/>
      <c r="N144" s="67"/>
      <c r="O144" s="61"/>
      <c r="P144" s="61"/>
      <c r="Q144" s="61"/>
      <c r="R144" s="61"/>
      <c r="S144" s="61"/>
    </row>
    <row r="145" spans="3:19" ht="12.75">
      <c r="C145" s="66"/>
      <c r="D145" s="66"/>
      <c r="F145" s="61"/>
      <c r="G145" s="61"/>
      <c r="H145" s="61"/>
      <c r="I145" s="61"/>
      <c r="J145" s="61"/>
      <c r="K145" s="61"/>
      <c r="L145" s="61"/>
      <c r="M145" s="67"/>
      <c r="N145" s="67"/>
      <c r="O145" s="61"/>
      <c r="P145" s="61"/>
      <c r="Q145" s="61"/>
      <c r="R145" s="61"/>
      <c r="S145" s="61"/>
    </row>
    <row r="146" spans="3:19" ht="12.75">
      <c r="C146" s="66"/>
      <c r="D146" s="66"/>
      <c r="F146" s="61"/>
      <c r="G146" s="61"/>
      <c r="H146" s="61"/>
      <c r="I146" s="61"/>
      <c r="J146" s="61"/>
      <c r="K146" s="61"/>
      <c r="L146" s="61"/>
      <c r="M146" s="67"/>
      <c r="N146" s="67"/>
      <c r="O146" s="61"/>
      <c r="P146" s="61"/>
      <c r="Q146" s="61"/>
      <c r="R146" s="61"/>
      <c r="S146" s="61"/>
    </row>
    <row r="147" spans="3:19" ht="12.75">
      <c r="C147" s="66"/>
      <c r="D147" s="66"/>
      <c r="F147" s="61"/>
      <c r="G147" s="61"/>
      <c r="H147" s="61"/>
      <c r="I147" s="61"/>
      <c r="J147" s="61"/>
      <c r="K147" s="61"/>
      <c r="L147" s="61"/>
      <c r="M147" s="67"/>
      <c r="N147" s="67"/>
      <c r="O147" s="61"/>
      <c r="P147" s="61"/>
      <c r="Q147" s="61"/>
      <c r="R147" s="61"/>
      <c r="S147" s="61"/>
    </row>
    <row r="148" spans="3:19" ht="12.75">
      <c r="C148" s="66"/>
      <c r="D148" s="66"/>
      <c r="F148" s="61"/>
      <c r="G148" s="61"/>
      <c r="H148" s="61"/>
      <c r="I148" s="61"/>
      <c r="J148" s="61"/>
      <c r="K148" s="61"/>
      <c r="L148" s="61"/>
      <c r="M148" s="67"/>
      <c r="N148" s="67"/>
      <c r="O148" s="61"/>
      <c r="P148" s="61"/>
      <c r="Q148" s="61"/>
      <c r="R148" s="61"/>
      <c r="S148" s="61"/>
    </row>
    <row r="149" spans="3:19" ht="12.75">
      <c r="C149" s="66"/>
      <c r="D149" s="66"/>
      <c r="F149" s="61"/>
      <c r="G149" s="61"/>
      <c r="H149" s="61"/>
      <c r="I149" s="61"/>
      <c r="J149" s="61"/>
      <c r="K149" s="61"/>
      <c r="L149" s="61"/>
      <c r="M149" s="67"/>
      <c r="N149" s="67"/>
      <c r="O149" s="61"/>
      <c r="P149" s="61"/>
      <c r="Q149" s="61"/>
      <c r="R149" s="61"/>
      <c r="S149" s="61"/>
    </row>
    <row r="150" spans="3:19" ht="12.75">
      <c r="C150" s="66"/>
      <c r="D150" s="66"/>
      <c r="F150" s="61"/>
      <c r="G150" s="61"/>
      <c r="H150" s="61"/>
      <c r="I150" s="61"/>
      <c r="J150" s="61"/>
      <c r="K150" s="61"/>
      <c r="L150" s="61"/>
      <c r="M150" s="67"/>
      <c r="N150" s="67"/>
      <c r="O150" s="61"/>
      <c r="P150" s="61"/>
      <c r="Q150" s="61"/>
      <c r="R150" s="61"/>
      <c r="S150" s="61"/>
    </row>
    <row r="151" spans="3:19" ht="12.75">
      <c r="C151" s="66"/>
      <c r="D151" s="66"/>
      <c r="F151" s="61"/>
      <c r="G151" s="61"/>
      <c r="H151" s="61"/>
      <c r="I151" s="61"/>
      <c r="J151" s="61"/>
      <c r="K151" s="61"/>
      <c r="L151" s="61"/>
      <c r="M151" s="67"/>
      <c r="N151" s="67"/>
      <c r="O151" s="61"/>
      <c r="P151" s="61"/>
      <c r="Q151" s="61"/>
      <c r="R151" s="61"/>
      <c r="S151" s="61"/>
    </row>
    <row r="152" spans="3:19" ht="12.75">
      <c r="C152" s="66"/>
      <c r="D152" s="66"/>
      <c r="F152" s="61"/>
      <c r="G152" s="61"/>
      <c r="H152" s="61"/>
      <c r="I152" s="61"/>
      <c r="J152" s="61"/>
      <c r="K152" s="61"/>
      <c r="L152" s="61"/>
      <c r="M152" s="67"/>
      <c r="N152" s="67"/>
      <c r="O152" s="61"/>
      <c r="P152" s="61"/>
      <c r="Q152" s="61"/>
      <c r="R152" s="61"/>
      <c r="S152" s="61"/>
    </row>
    <row r="153" spans="3:19" ht="12.75">
      <c r="C153" s="66"/>
      <c r="D153" s="66"/>
      <c r="F153" s="61"/>
      <c r="G153" s="61"/>
      <c r="H153" s="61"/>
      <c r="I153" s="61"/>
      <c r="J153" s="61"/>
      <c r="K153" s="61"/>
      <c r="L153" s="61"/>
      <c r="M153" s="67"/>
      <c r="N153" s="67"/>
      <c r="O153" s="61"/>
      <c r="P153" s="61"/>
      <c r="Q153" s="61"/>
      <c r="R153" s="61"/>
      <c r="S153" s="61"/>
    </row>
    <row r="154" spans="3:19" ht="12.75">
      <c r="C154" s="66"/>
      <c r="D154" s="66"/>
      <c r="F154" s="61"/>
      <c r="G154" s="61"/>
      <c r="H154" s="61"/>
      <c r="I154" s="61"/>
      <c r="J154" s="61"/>
      <c r="K154" s="61"/>
      <c r="L154" s="61"/>
      <c r="M154" s="67"/>
      <c r="N154" s="67"/>
      <c r="O154" s="61"/>
      <c r="P154" s="61"/>
      <c r="Q154" s="61"/>
      <c r="R154" s="61"/>
      <c r="S154" s="61"/>
    </row>
    <row r="155" spans="3:19" ht="12.75">
      <c r="C155" s="66"/>
      <c r="D155" s="66"/>
      <c r="F155" s="61"/>
      <c r="G155" s="61"/>
      <c r="H155" s="61"/>
      <c r="I155" s="61"/>
      <c r="J155" s="61"/>
      <c r="K155" s="61"/>
      <c r="L155" s="61"/>
      <c r="M155" s="67"/>
      <c r="N155" s="67"/>
      <c r="O155" s="61"/>
      <c r="P155" s="61"/>
      <c r="Q155" s="61"/>
      <c r="R155" s="61"/>
      <c r="S155" s="61"/>
    </row>
    <row r="156" spans="3:19" ht="12.75">
      <c r="C156" s="66"/>
      <c r="D156" s="66"/>
      <c r="F156" s="61"/>
      <c r="G156" s="61"/>
      <c r="H156" s="61"/>
      <c r="I156" s="61"/>
      <c r="J156" s="61"/>
      <c r="K156" s="61"/>
      <c r="L156" s="61"/>
      <c r="M156" s="67"/>
      <c r="N156" s="67"/>
      <c r="O156" s="61"/>
      <c r="P156" s="61"/>
      <c r="Q156" s="61"/>
      <c r="R156" s="61"/>
      <c r="S156" s="61"/>
    </row>
    <row r="157" spans="3:19" ht="12.75">
      <c r="C157" s="66"/>
      <c r="D157" s="66"/>
      <c r="F157" s="61"/>
      <c r="G157" s="61"/>
      <c r="H157" s="61"/>
      <c r="I157" s="61"/>
      <c r="J157" s="61"/>
      <c r="K157" s="61"/>
      <c r="L157" s="61"/>
      <c r="M157" s="67"/>
      <c r="N157" s="67"/>
      <c r="O157" s="61"/>
      <c r="P157" s="61"/>
      <c r="Q157" s="61"/>
      <c r="R157" s="61"/>
      <c r="S157" s="61"/>
    </row>
    <row r="158" spans="3:19" ht="12.75">
      <c r="C158" s="66"/>
      <c r="D158" s="66"/>
      <c r="F158" s="61"/>
      <c r="G158" s="61"/>
      <c r="H158" s="61"/>
      <c r="I158" s="61"/>
      <c r="J158" s="61"/>
      <c r="K158" s="61"/>
      <c r="L158" s="61"/>
      <c r="M158" s="67"/>
      <c r="N158" s="67"/>
      <c r="O158" s="61"/>
      <c r="P158" s="61"/>
      <c r="Q158" s="61"/>
      <c r="R158" s="61"/>
      <c r="S158" s="61"/>
    </row>
    <row r="159" spans="3:19" ht="12.75">
      <c r="C159" s="66"/>
      <c r="D159" s="66"/>
      <c r="F159" s="61"/>
      <c r="G159" s="61"/>
      <c r="H159" s="61"/>
      <c r="I159" s="61"/>
      <c r="J159" s="61"/>
      <c r="K159" s="61"/>
      <c r="L159" s="61"/>
      <c r="M159" s="67"/>
      <c r="N159" s="67"/>
      <c r="O159" s="61"/>
      <c r="P159" s="61"/>
      <c r="Q159" s="61"/>
      <c r="R159" s="61"/>
      <c r="S159" s="61"/>
    </row>
    <row r="160" spans="3:19" ht="12.75">
      <c r="C160" s="66"/>
      <c r="D160" s="66"/>
      <c r="F160" s="61"/>
      <c r="G160" s="61"/>
      <c r="H160" s="61"/>
      <c r="I160" s="61"/>
      <c r="J160" s="61"/>
      <c r="K160" s="61"/>
      <c r="L160" s="61"/>
      <c r="M160" s="67"/>
      <c r="N160" s="67"/>
      <c r="O160" s="61"/>
      <c r="P160" s="61"/>
      <c r="Q160" s="61"/>
      <c r="R160" s="61"/>
      <c r="S160" s="61"/>
    </row>
    <row r="161" spans="3:19" ht="12.75">
      <c r="C161" s="66"/>
      <c r="D161" s="66"/>
      <c r="F161" s="61"/>
      <c r="G161" s="61"/>
      <c r="H161" s="61"/>
      <c r="I161" s="61"/>
      <c r="J161" s="61"/>
      <c r="K161" s="61"/>
      <c r="L161" s="61"/>
      <c r="M161" s="67"/>
      <c r="N161" s="67"/>
      <c r="O161" s="61"/>
      <c r="P161" s="61"/>
      <c r="Q161" s="61"/>
      <c r="R161" s="61"/>
      <c r="S161" s="61"/>
    </row>
    <row r="162" spans="3:19" ht="12.75">
      <c r="C162" s="66"/>
      <c r="D162" s="66"/>
      <c r="F162" s="61"/>
      <c r="G162" s="61"/>
      <c r="H162" s="61"/>
      <c r="I162" s="61"/>
      <c r="J162" s="61"/>
      <c r="K162" s="61"/>
      <c r="L162" s="61"/>
      <c r="M162" s="67"/>
      <c r="N162" s="67"/>
      <c r="O162" s="61"/>
      <c r="P162" s="61"/>
      <c r="Q162" s="61"/>
      <c r="R162" s="61"/>
      <c r="S162" s="61"/>
    </row>
    <row r="163" spans="3:19" ht="12.75">
      <c r="C163" s="66"/>
      <c r="D163" s="66"/>
      <c r="F163" s="61"/>
      <c r="G163" s="61"/>
      <c r="H163" s="61"/>
      <c r="I163" s="61"/>
      <c r="J163" s="61"/>
      <c r="K163" s="61"/>
      <c r="L163" s="61"/>
      <c r="M163" s="67"/>
      <c r="N163" s="67"/>
      <c r="O163" s="61"/>
      <c r="P163" s="61"/>
      <c r="Q163" s="61"/>
      <c r="R163" s="61"/>
      <c r="S163" s="61"/>
    </row>
    <row r="164" spans="3:19" ht="12.75">
      <c r="C164" s="66"/>
      <c r="D164" s="66"/>
      <c r="F164" s="61"/>
      <c r="G164" s="61"/>
      <c r="H164" s="61"/>
      <c r="I164" s="61"/>
      <c r="J164" s="61"/>
      <c r="K164" s="61"/>
      <c r="L164" s="61"/>
      <c r="M164" s="67"/>
      <c r="N164" s="67"/>
      <c r="O164" s="61"/>
      <c r="P164" s="61"/>
      <c r="Q164" s="61"/>
      <c r="R164" s="61"/>
      <c r="S164" s="61"/>
    </row>
    <row r="165" spans="3:19" ht="12.75">
      <c r="C165" s="66"/>
      <c r="D165" s="66"/>
      <c r="F165" s="61"/>
      <c r="G165" s="61"/>
      <c r="H165" s="61"/>
      <c r="I165" s="61"/>
      <c r="J165" s="61"/>
      <c r="K165" s="61"/>
      <c r="L165" s="61"/>
      <c r="M165" s="67"/>
      <c r="N165" s="67"/>
      <c r="O165" s="61"/>
      <c r="P165" s="61"/>
      <c r="Q165" s="61"/>
      <c r="R165" s="61"/>
      <c r="S165" s="61"/>
    </row>
    <row r="166" spans="3:19" ht="12.75">
      <c r="C166" s="66"/>
      <c r="D166" s="66"/>
      <c r="F166" s="61"/>
      <c r="G166" s="61"/>
      <c r="H166" s="61"/>
      <c r="I166" s="61"/>
      <c r="J166" s="61"/>
      <c r="K166" s="61"/>
      <c r="L166" s="61"/>
      <c r="M166" s="67"/>
      <c r="N166" s="67"/>
      <c r="O166" s="61"/>
      <c r="P166" s="61"/>
      <c r="Q166" s="61"/>
      <c r="R166" s="61"/>
      <c r="S166" s="61"/>
    </row>
    <row r="167" spans="3:19" ht="12.75">
      <c r="C167" s="66"/>
      <c r="D167" s="66"/>
      <c r="F167" s="61"/>
      <c r="G167" s="61"/>
      <c r="H167" s="61"/>
      <c r="I167" s="61"/>
      <c r="J167" s="61"/>
      <c r="K167" s="61"/>
      <c r="L167" s="61"/>
      <c r="M167" s="67"/>
      <c r="N167" s="67"/>
      <c r="O167" s="61"/>
      <c r="P167" s="61"/>
      <c r="Q167" s="61"/>
      <c r="R167" s="61"/>
      <c r="S167" s="61"/>
    </row>
    <row r="168" spans="3:19" ht="12.75">
      <c r="C168" s="66"/>
      <c r="D168" s="66"/>
      <c r="F168" s="61"/>
      <c r="G168" s="61"/>
      <c r="H168" s="61"/>
      <c r="I168" s="61"/>
      <c r="J168" s="61"/>
      <c r="K168" s="61"/>
      <c r="L168" s="61"/>
      <c r="M168" s="67"/>
      <c r="N168" s="67"/>
      <c r="O168" s="61"/>
      <c r="P168" s="61"/>
      <c r="Q168" s="61"/>
      <c r="R168" s="61"/>
      <c r="S168" s="61"/>
    </row>
    <row r="169" spans="3:19" ht="12.75">
      <c r="C169" s="66"/>
      <c r="D169" s="66"/>
      <c r="F169" s="61"/>
      <c r="G169" s="61"/>
      <c r="H169" s="61"/>
      <c r="I169" s="61"/>
      <c r="J169" s="61"/>
      <c r="K169" s="61"/>
      <c r="L169" s="61"/>
      <c r="M169" s="67"/>
      <c r="N169" s="67"/>
      <c r="O169" s="61"/>
      <c r="P169" s="61"/>
      <c r="Q169" s="61"/>
      <c r="R169" s="61"/>
      <c r="S169" s="61"/>
    </row>
    <row r="170" spans="3:19" ht="12.75">
      <c r="C170" s="66"/>
      <c r="D170" s="66"/>
      <c r="F170" s="61"/>
      <c r="G170" s="61"/>
      <c r="H170" s="61"/>
      <c r="I170" s="61"/>
      <c r="J170" s="61"/>
      <c r="K170" s="61"/>
      <c r="L170" s="61"/>
      <c r="M170" s="67"/>
      <c r="N170" s="67"/>
      <c r="O170" s="61"/>
      <c r="P170" s="61"/>
      <c r="Q170" s="61"/>
      <c r="R170" s="61"/>
      <c r="S170" s="61"/>
    </row>
    <row r="171" spans="3:19" ht="12.75">
      <c r="C171" s="66"/>
      <c r="D171" s="66"/>
      <c r="F171" s="61"/>
      <c r="G171" s="61"/>
      <c r="H171" s="61"/>
      <c r="I171" s="61"/>
      <c r="J171" s="61"/>
      <c r="K171" s="61"/>
      <c r="L171" s="61"/>
      <c r="M171" s="67"/>
      <c r="N171" s="67"/>
      <c r="O171" s="61"/>
      <c r="P171" s="61"/>
      <c r="Q171" s="61"/>
      <c r="R171" s="61"/>
      <c r="S171" s="61"/>
    </row>
    <row r="172" spans="3:19" ht="12.75">
      <c r="C172" s="66"/>
      <c r="D172" s="66"/>
      <c r="F172" s="61"/>
      <c r="G172" s="61"/>
      <c r="H172" s="61"/>
      <c r="I172" s="61"/>
      <c r="J172" s="61"/>
      <c r="K172" s="61"/>
      <c r="L172" s="61"/>
      <c r="M172" s="67"/>
      <c r="N172" s="67"/>
      <c r="O172" s="61"/>
      <c r="P172" s="61"/>
      <c r="Q172" s="61"/>
      <c r="R172" s="61"/>
      <c r="S172" s="61"/>
    </row>
    <row r="173" spans="3:19" ht="12.75">
      <c r="C173" s="66"/>
      <c r="D173" s="66"/>
      <c r="F173" s="61"/>
      <c r="G173" s="61"/>
      <c r="H173" s="61"/>
      <c r="I173" s="61"/>
      <c r="J173" s="61"/>
      <c r="K173" s="61"/>
      <c r="L173" s="61"/>
      <c r="M173" s="67"/>
      <c r="N173" s="67"/>
      <c r="O173" s="61"/>
      <c r="P173" s="61"/>
      <c r="Q173" s="61"/>
      <c r="R173" s="61"/>
      <c r="S173" s="61"/>
    </row>
    <row r="174" spans="3:19" ht="12.75">
      <c r="C174" s="66"/>
      <c r="D174" s="66"/>
      <c r="F174" s="61"/>
      <c r="G174" s="61"/>
      <c r="H174" s="61"/>
      <c r="I174" s="61"/>
      <c r="J174" s="61"/>
      <c r="K174" s="61"/>
      <c r="L174" s="61"/>
      <c r="M174" s="67"/>
      <c r="N174" s="67"/>
      <c r="O174" s="61"/>
      <c r="P174" s="61"/>
      <c r="Q174" s="61"/>
      <c r="R174" s="61"/>
      <c r="S174" s="61"/>
    </row>
    <row r="175" spans="3:19" ht="12.75">
      <c r="C175" s="66"/>
      <c r="D175" s="66"/>
      <c r="F175" s="61"/>
      <c r="G175" s="61"/>
      <c r="H175" s="61"/>
      <c r="I175" s="61"/>
      <c r="J175" s="61"/>
      <c r="K175" s="61"/>
      <c r="L175" s="61"/>
      <c r="M175" s="67"/>
      <c r="N175" s="67"/>
      <c r="O175" s="61"/>
      <c r="P175" s="61"/>
      <c r="Q175" s="61"/>
      <c r="R175" s="61"/>
      <c r="S175" s="61"/>
    </row>
    <row r="176" spans="3:19" ht="12.75">
      <c r="C176" s="66"/>
      <c r="D176" s="66"/>
      <c r="F176" s="61"/>
      <c r="G176" s="61"/>
      <c r="H176" s="61"/>
      <c r="I176" s="61"/>
      <c r="J176" s="61"/>
      <c r="K176" s="61"/>
      <c r="L176" s="61"/>
      <c r="M176" s="67"/>
      <c r="N176" s="67"/>
      <c r="O176" s="61"/>
      <c r="P176" s="61"/>
      <c r="Q176" s="61"/>
      <c r="R176" s="61"/>
      <c r="S176" s="61"/>
    </row>
    <row r="177" spans="3:19" ht="12.75">
      <c r="C177" s="66"/>
      <c r="D177" s="66"/>
      <c r="F177" s="61"/>
      <c r="G177" s="61"/>
      <c r="H177" s="61"/>
      <c r="I177" s="61"/>
      <c r="J177" s="61"/>
      <c r="K177" s="61"/>
      <c r="L177" s="61"/>
      <c r="M177" s="67"/>
      <c r="N177" s="67"/>
      <c r="O177" s="61"/>
      <c r="P177" s="61"/>
      <c r="Q177" s="61"/>
      <c r="R177" s="61"/>
      <c r="S177" s="61"/>
    </row>
    <row r="178" spans="3:19" ht="12.75">
      <c r="C178" s="66"/>
      <c r="D178" s="66"/>
      <c r="F178" s="61"/>
      <c r="G178" s="61"/>
      <c r="H178" s="61"/>
      <c r="I178" s="61"/>
      <c r="J178" s="61"/>
      <c r="K178" s="61"/>
      <c r="L178" s="61"/>
      <c r="M178" s="67"/>
      <c r="N178" s="67"/>
      <c r="O178" s="61"/>
      <c r="P178" s="61"/>
      <c r="Q178" s="61"/>
      <c r="R178" s="61"/>
      <c r="S178" s="61"/>
    </row>
    <row r="179" spans="3:19" ht="12.75">
      <c r="C179" s="66"/>
      <c r="D179" s="66"/>
      <c r="F179" s="61"/>
      <c r="G179" s="61"/>
      <c r="H179" s="61"/>
      <c r="I179" s="61"/>
      <c r="J179" s="61"/>
      <c r="K179" s="61"/>
      <c r="L179" s="61"/>
      <c r="M179" s="67"/>
      <c r="N179" s="67"/>
      <c r="O179" s="61"/>
      <c r="P179" s="61"/>
      <c r="Q179" s="61"/>
      <c r="R179" s="61"/>
      <c r="S179" s="61"/>
    </row>
    <row r="180" spans="3:19" ht="12.75">
      <c r="C180" s="66"/>
      <c r="D180" s="66"/>
      <c r="F180" s="61"/>
      <c r="G180" s="61"/>
      <c r="H180" s="61"/>
      <c r="I180" s="61"/>
      <c r="J180" s="61"/>
      <c r="K180" s="61"/>
      <c r="L180" s="61"/>
      <c r="M180" s="67"/>
      <c r="N180" s="67"/>
      <c r="O180" s="61"/>
      <c r="P180" s="61"/>
      <c r="Q180" s="61"/>
      <c r="R180" s="61"/>
      <c r="S180" s="61"/>
    </row>
    <row r="181" spans="3:19" ht="12.75">
      <c r="C181" s="66"/>
      <c r="D181" s="66"/>
      <c r="F181" s="61"/>
      <c r="G181" s="61"/>
      <c r="H181" s="61"/>
      <c r="I181" s="61"/>
      <c r="J181" s="61"/>
      <c r="K181" s="61"/>
      <c r="L181" s="61"/>
      <c r="M181" s="67"/>
      <c r="N181" s="67"/>
      <c r="O181" s="61"/>
      <c r="P181" s="61"/>
      <c r="Q181" s="61"/>
      <c r="R181" s="61"/>
      <c r="S181" s="61"/>
    </row>
    <row r="182" spans="3:19" ht="12.75">
      <c r="C182" s="66"/>
      <c r="D182" s="66"/>
      <c r="F182" s="61"/>
      <c r="G182" s="61"/>
      <c r="H182" s="61"/>
      <c r="I182" s="61"/>
      <c r="J182" s="61"/>
      <c r="K182" s="61"/>
      <c r="L182" s="61"/>
      <c r="M182" s="67"/>
      <c r="N182" s="67"/>
      <c r="O182" s="61"/>
      <c r="P182" s="61"/>
      <c r="Q182" s="61"/>
      <c r="R182" s="61"/>
      <c r="S182" s="61"/>
    </row>
    <row r="183" spans="3:19" ht="12.75">
      <c r="C183" s="66"/>
      <c r="D183" s="66"/>
      <c r="F183" s="61"/>
      <c r="G183" s="61"/>
      <c r="H183" s="61"/>
      <c r="I183" s="61"/>
      <c r="J183" s="61"/>
      <c r="K183" s="61"/>
      <c r="L183" s="61"/>
      <c r="M183" s="67"/>
      <c r="N183" s="67"/>
      <c r="O183" s="61"/>
      <c r="P183" s="61"/>
      <c r="Q183" s="61"/>
      <c r="R183" s="61"/>
      <c r="S183" s="61"/>
    </row>
    <row r="184" spans="3:19" ht="12.75">
      <c r="C184" s="66"/>
      <c r="D184" s="66"/>
      <c r="F184" s="61"/>
      <c r="G184" s="61"/>
      <c r="H184" s="61"/>
      <c r="I184" s="61"/>
      <c r="J184" s="61"/>
      <c r="K184" s="61"/>
      <c r="L184" s="61"/>
      <c r="M184" s="67"/>
      <c r="N184" s="67"/>
      <c r="O184" s="61"/>
      <c r="P184" s="61"/>
      <c r="Q184" s="61"/>
      <c r="R184" s="61"/>
      <c r="S184" s="61"/>
    </row>
    <row r="185" spans="3:19" ht="12.75">
      <c r="C185" s="66"/>
      <c r="D185" s="66"/>
      <c r="F185" s="61"/>
      <c r="G185" s="61"/>
      <c r="H185" s="61"/>
      <c r="I185" s="61"/>
      <c r="J185" s="61"/>
      <c r="K185" s="61"/>
      <c r="L185" s="61"/>
      <c r="M185" s="67"/>
      <c r="N185" s="67"/>
      <c r="O185" s="61"/>
      <c r="P185" s="61"/>
      <c r="Q185" s="61"/>
      <c r="R185" s="61"/>
      <c r="S185" s="61"/>
    </row>
    <row r="186" spans="3:19" ht="12.75">
      <c r="C186" s="66"/>
      <c r="D186" s="66"/>
      <c r="F186" s="61"/>
      <c r="G186" s="61"/>
      <c r="H186" s="61"/>
      <c r="I186" s="61"/>
      <c r="J186" s="61"/>
      <c r="K186" s="61"/>
      <c r="L186" s="61"/>
      <c r="M186" s="67"/>
      <c r="N186" s="67"/>
      <c r="O186" s="61"/>
      <c r="P186" s="61"/>
      <c r="Q186" s="61"/>
      <c r="R186" s="61"/>
      <c r="S186" s="61"/>
    </row>
    <row r="187" spans="3:19" ht="12.75">
      <c r="C187" s="66"/>
      <c r="D187" s="66"/>
      <c r="F187" s="61"/>
      <c r="G187" s="61"/>
      <c r="H187" s="61"/>
      <c r="I187" s="61"/>
      <c r="J187" s="61"/>
      <c r="K187" s="61"/>
      <c r="L187" s="61"/>
      <c r="M187" s="67"/>
      <c r="N187" s="67"/>
      <c r="O187" s="61"/>
      <c r="P187" s="61"/>
      <c r="Q187" s="61"/>
      <c r="R187" s="61"/>
      <c r="S187" s="61"/>
    </row>
    <row r="188" spans="3:19" ht="12.75">
      <c r="C188" s="66"/>
      <c r="D188" s="66"/>
      <c r="F188" s="61"/>
      <c r="G188" s="61"/>
      <c r="H188" s="61"/>
      <c r="I188" s="61"/>
      <c r="J188" s="61"/>
      <c r="K188" s="61"/>
      <c r="L188" s="61"/>
      <c r="M188" s="67"/>
      <c r="N188" s="67"/>
      <c r="O188" s="61"/>
      <c r="P188" s="61"/>
      <c r="Q188" s="61"/>
      <c r="R188" s="61"/>
      <c r="S188" s="61"/>
    </row>
    <row r="189" spans="3:19" ht="12.75">
      <c r="C189" s="66"/>
      <c r="D189" s="66"/>
      <c r="F189" s="61"/>
      <c r="G189" s="61"/>
      <c r="H189" s="61"/>
      <c r="I189" s="61"/>
      <c r="J189" s="61"/>
      <c r="K189" s="61"/>
      <c r="L189" s="61"/>
      <c r="M189" s="67"/>
      <c r="N189" s="67"/>
      <c r="O189" s="61"/>
      <c r="P189" s="61"/>
      <c r="Q189" s="61"/>
      <c r="R189" s="61"/>
      <c r="S189" s="61"/>
    </row>
    <row r="190" spans="3:19" ht="12.75">
      <c r="C190" s="66"/>
      <c r="D190" s="66"/>
      <c r="F190" s="61"/>
      <c r="G190" s="61"/>
      <c r="H190" s="61"/>
      <c r="I190" s="61"/>
      <c r="J190" s="61"/>
      <c r="K190" s="61"/>
      <c r="L190" s="61"/>
      <c r="M190" s="67"/>
      <c r="N190" s="67"/>
      <c r="O190" s="61"/>
      <c r="P190" s="61"/>
      <c r="Q190" s="61"/>
      <c r="R190" s="61"/>
      <c r="S190" s="61"/>
    </row>
    <row r="191" spans="3:19" ht="12.75">
      <c r="C191" s="66"/>
      <c r="D191" s="66"/>
      <c r="F191" s="61"/>
      <c r="G191" s="61"/>
      <c r="H191" s="61"/>
      <c r="I191" s="61"/>
      <c r="J191" s="61"/>
      <c r="K191" s="61"/>
      <c r="L191" s="61"/>
      <c r="M191" s="67"/>
      <c r="N191" s="67"/>
      <c r="O191" s="61"/>
      <c r="P191" s="61"/>
      <c r="Q191" s="61"/>
      <c r="R191" s="61"/>
      <c r="S191" s="61"/>
    </row>
    <row r="192" spans="3:19" ht="12.75">
      <c r="C192" s="66"/>
      <c r="D192" s="66"/>
      <c r="F192" s="61"/>
      <c r="G192" s="61"/>
      <c r="H192" s="61"/>
      <c r="I192" s="61"/>
      <c r="J192" s="61"/>
      <c r="K192" s="61"/>
      <c r="L192" s="61"/>
      <c r="M192" s="67"/>
      <c r="N192" s="67"/>
      <c r="O192" s="61"/>
      <c r="P192" s="61"/>
      <c r="Q192" s="61"/>
      <c r="R192" s="61"/>
      <c r="S192" s="61"/>
    </row>
    <row r="193" spans="3:19" ht="12.75">
      <c r="C193" s="66"/>
      <c r="D193" s="66"/>
      <c r="F193" s="61"/>
      <c r="G193" s="61"/>
      <c r="H193" s="61"/>
      <c r="I193" s="61"/>
      <c r="J193" s="61"/>
      <c r="K193" s="61"/>
      <c r="L193" s="61"/>
      <c r="M193" s="67"/>
      <c r="N193" s="67"/>
      <c r="O193" s="61"/>
      <c r="P193" s="61"/>
      <c r="Q193" s="61"/>
      <c r="R193" s="61"/>
      <c r="S193" s="61"/>
    </row>
    <row r="194" spans="3:19" ht="12.75">
      <c r="C194" s="66"/>
      <c r="D194" s="66"/>
      <c r="F194" s="61"/>
      <c r="G194" s="61"/>
      <c r="H194" s="61"/>
      <c r="I194" s="61"/>
      <c r="J194" s="61"/>
      <c r="K194" s="61"/>
      <c r="L194" s="61"/>
      <c r="M194" s="67"/>
      <c r="N194" s="67"/>
      <c r="O194" s="61"/>
      <c r="P194" s="61"/>
      <c r="Q194" s="61"/>
      <c r="R194" s="61"/>
      <c r="S194" s="61"/>
    </row>
    <row r="195" spans="3:19" ht="12.75">
      <c r="C195" s="66"/>
      <c r="D195" s="66"/>
      <c r="F195" s="61"/>
      <c r="G195" s="61"/>
      <c r="H195" s="61"/>
      <c r="I195" s="61"/>
      <c r="J195" s="61"/>
      <c r="K195" s="61"/>
      <c r="L195" s="61"/>
      <c r="M195" s="67"/>
      <c r="N195" s="67"/>
      <c r="O195" s="61"/>
      <c r="P195" s="61"/>
      <c r="Q195" s="61"/>
      <c r="R195" s="61"/>
      <c r="S195" s="61"/>
    </row>
    <row r="196" spans="3:19" ht="12.75">
      <c r="C196" s="66"/>
      <c r="D196" s="66"/>
      <c r="F196" s="61"/>
      <c r="G196" s="61"/>
      <c r="H196" s="61"/>
      <c r="I196" s="61"/>
      <c r="J196" s="61"/>
      <c r="K196" s="61"/>
      <c r="L196" s="61"/>
      <c r="M196" s="67"/>
      <c r="N196" s="67"/>
      <c r="O196" s="61"/>
      <c r="P196" s="61"/>
      <c r="Q196" s="61"/>
      <c r="R196" s="61"/>
      <c r="S196" s="61"/>
    </row>
    <row r="197" spans="3:19" ht="12.75">
      <c r="C197" s="66"/>
      <c r="D197" s="66"/>
      <c r="F197" s="61"/>
      <c r="G197" s="61"/>
      <c r="H197" s="61"/>
      <c r="I197" s="61"/>
      <c r="J197" s="61"/>
      <c r="K197" s="61"/>
      <c r="L197" s="61"/>
      <c r="M197" s="67"/>
      <c r="N197" s="67"/>
      <c r="O197" s="61"/>
      <c r="P197" s="61"/>
      <c r="Q197" s="61"/>
      <c r="R197" s="61"/>
      <c r="S197" s="61"/>
    </row>
    <row r="198" spans="3:19" ht="12.75">
      <c r="C198" s="66"/>
      <c r="D198" s="66"/>
      <c r="F198" s="61"/>
      <c r="G198" s="61"/>
      <c r="H198" s="61"/>
      <c r="I198" s="61"/>
      <c r="J198" s="61"/>
      <c r="K198" s="61"/>
      <c r="L198" s="61"/>
      <c r="M198" s="67"/>
      <c r="N198" s="67"/>
      <c r="O198" s="61"/>
      <c r="P198" s="61"/>
      <c r="Q198" s="61"/>
      <c r="R198" s="61"/>
      <c r="S198" s="61"/>
    </row>
    <row r="199" spans="3:19" ht="12.75">
      <c r="C199" s="66"/>
      <c r="D199" s="66"/>
      <c r="F199" s="61"/>
      <c r="G199" s="61"/>
      <c r="H199" s="61"/>
      <c r="I199" s="61"/>
      <c r="J199" s="61"/>
      <c r="K199" s="61"/>
      <c r="L199" s="61"/>
      <c r="M199" s="67"/>
      <c r="N199" s="67"/>
      <c r="O199" s="61"/>
      <c r="P199" s="61"/>
      <c r="Q199" s="61"/>
      <c r="R199" s="61"/>
      <c r="S199" s="61"/>
    </row>
    <row r="200" spans="3:19" ht="12.75">
      <c r="C200" s="66"/>
      <c r="D200" s="66"/>
      <c r="F200" s="61"/>
      <c r="G200" s="61"/>
      <c r="H200" s="61"/>
      <c r="I200" s="61"/>
      <c r="J200" s="61"/>
      <c r="K200" s="61"/>
      <c r="L200" s="61"/>
      <c r="M200" s="67"/>
      <c r="N200" s="67"/>
      <c r="O200" s="61"/>
      <c r="P200" s="61"/>
      <c r="Q200" s="61"/>
      <c r="R200" s="61"/>
      <c r="S200" s="61"/>
    </row>
    <row r="201" spans="3:19" ht="12.75">
      <c r="C201" s="66"/>
      <c r="D201" s="66"/>
      <c r="F201" s="61"/>
      <c r="G201" s="61"/>
      <c r="H201" s="61"/>
      <c r="I201" s="61"/>
      <c r="J201" s="61"/>
      <c r="K201" s="61"/>
      <c r="L201" s="61"/>
      <c r="M201" s="67"/>
      <c r="N201" s="67"/>
      <c r="O201" s="61"/>
      <c r="P201" s="61"/>
      <c r="Q201" s="61"/>
      <c r="R201" s="61"/>
      <c r="S201" s="61"/>
    </row>
    <row r="202" spans="3:19" ht="12.75">
      <c r="C202" s="66"/>
      <c r="D202" s="66"/>
      <c r="F202" s="61"/>
      <c r="G202" s="61"/>
      <c r="H202" s="61"/>
      <c r="I202" s="61"/>
      <c r="J202" s="61"/>
      <c r="K202" s="61"/>
      <c r="L202" s="61"/>
      <c r="M202" s="67"/>
      <c r="N202" s="67"/>
      <c r="O202" s="61"/>
      <c r="P202" s="61"/>
      <c r="Q202" s="61"/>
      <c r="R202" s="61"/>
      <c r="S202" s="61"/>
    </row>
    <row r="203" spans="3:19" ht="12.75">
      <c r="C203" s="66"/>
      <c r="D203" s="66"/>
      <c r="F203" s="61"/>
      <c r="G203" s="61"/>
      <c r="H203" s="61"/>
      <c r="I203" s="61"/>
      <c r="J203" s="61"/>
      <c r="K203" s="61"/>
      <c r="L203" s="61"/>
      <c r="M203" s="67"/>
      <c r="N203" s="67"/>
      <c r="O203" s="61"/>
      <c r="P203" s="61"/>
      <c r="Q203" s="61"/>
      <c r="R203" s="61"/>
      <c r="S203" s="61"/>
    </row>
    <row r="204" spans="3:19" ht="12.75">
      <c r="C204" s="66"/>
      <c r="D204" s="66"/>
      <c r="F204" s="61"/>
      <c r="G204" s="61"/>
      <c r="H204" s="61"/>
      <c r="I204" s="61"/>
      <c r="J204" s="61"/>
      <c r="K204" s="61"/>
      <c r="L204" s="61"/>
      <c r="M204" s="67"/>
      <c r="N204" s="67"/>
      <c r="O204" s="61"/>
      <c r="P204" s="61"/>
      <c r="Q204" s="61"/>
      <c r="R204" s="61"/>
      <c r="S204" s="61"/>
    </row>
    <row r="205" spans="3:19" ht="12.75">
      <c r="C205" s="66"/>
      <c r="D205" s="66"/>
      <c r="F205" s="61"/>
      <c r="G205" s="61"/>
      <c r="H205" s="61"/>
      <c r="I205" s="61"/>
      <c r="J205" s="61"/>
      <c r="K205" s="61"/>
      <c r="L205" s="61"/>
      <c r="M205" s="67"/>
      <c r="N205" s="67"/>
      <c r="O205" s="61"/>
      <c r="P205" s="61"/>
      <c r="Q205" s="61"/>
      <c r="R205" s="61"/>
      <c r="S205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N31"/>
  <sheetViews>
    <sheetView tabSelected="1" workbookViewId="0" topLeftCell="A1">
      <selection activeCell="E30" sqref="E30"/>
    </sheetView>
  </sheetViews>
  <sheetFormatPr defaultColWidth="9.140625" defaultRowHeight="12.75"/>
  <cols>
    <col min="5" max="5" width="10.57421875" style="0" customWidth="1"/>
    <col min="9" max="10" width="3.57421875" style="0" customWidth="1"/>
    <col min="11" max="11" width="5.7109375" style="0" customWidth="1"/>
    <col min="12" max="13" width="3.57421875" style="0" customWidth="1"/>
    <col min="14" max="14" width="6.28125" style="0" customWidth="1"/>
  </cols>
  <sheetData>
    <row r="1" ht="12.75">
      <c r="A1" s="19" t="s">
        <v>149</v>
      </c>
    </row>
    <row r="2" spans="1:3" ht="12.75">
      <c r="A2" s="49" t="s">
        <v>156</v>
      </c>
      <c r="C2" t="s">
        <v>126</v>
      </c>
    </row>
    <row r="3" ht="12.75">
      <c r="A3" t="s">
        <v>125</v>
      </c>
    </row>
    <row r="4" spans="1:4" ht="13.5" thickBot="1">
      <c r="A4" s="19" t="s">
        <v>41</v>
      </c>
      <c r="D4" t="s">
        <v>127</v>
      </c>
    </row>
    <row r="5" spans="1:14" ht="12.75">
      <c r="A5" s="37" t="s">
        <v>18</v>
      </c>
      <c r="B5" s="38"/>
      <c r="C5" s="38" t="s">
        <v>21</v>
      </c>
      <c r="D5" s="38" t="s">
        <v>22</v>
      </c>
      <c r="E5" s="40"/>
      <c r="F5" s="38" t="s">
        <v>116</v>
      </c>
      <c r="G5" s="38" t="s">
        <v>24</v>
      </c>
      <c r="H5" s="40" t="s">
        <v>25</v>
      </c>
      <c r="I5" s="38" t="s">
        <v>120</v>
      </c>
      <c r="J5" s="38"/>
      <c r="K5" s="38"/>
      <c r="L5" s="38" t="s">
        <v>121</v>
      </c>
      <c r="M5" s="38"/>
      <c r="N5" s="40"/>
    </row>
    <row r="6" spans="1:14" ht="12.75">
      <c r="A6" s="41"/>
      <c r="B6" s="42" t="s">
        <v>123</v>
      </c>
      <c r="C6" s="25">
        <v>803843.2695642215</v>
      </c>
      <c r="D6" s="25">
        <v>1051816.2650340772</v>
      </c>
      <c r="E6" s="71"/>
      <c r="F6" s="2" t="s">
        <v>23</v>
      </c>
      <c r="G6" s="45">
        <f>'Krovák to S-JTSK'!AL2</f>
        <v>49.93208850681043</v>
      </c>
      <c r="H6" s="46">
        <f>'Krovák to S-JTSK'!AN2</f>
        <v>13.596699560454883</v>
      </c>
      <c r="I6" s="28">
        <f>TRUNC(G6)</f>
        <v>49</v>
      </c>
      <c r="J6" s="28">
        <f>TRUNC((G6-I6)*60)</f>
        <v>55</v>
      </c>
      <c r="K6" s="31">
        <f>3600*(G6-I6-J6/60)</f>
        <v>55.51862451754928</v>
      </c>
      <c r="L6" s="28">
        <f>TRUNC(H6)</f>
        <v>13</v>
      </c>
      <c r="M6" s="28">
        <f>TRUNC((H6-L6)*60)</f>
        <v>35</v>
      </c>
      <c r="N6" s="32">
        <f>3600*(H6-L6-M6/60)</f>
        <v>48.1184176375804</v>
      </c>
    </row>
    <row r="7" spans="1:14" ht="12.75">
      <c r="A7" s="41" t="s">
        <v>26</v>
      </c>
      <c r="B7" s="42"/>
      <c r="C7" s="26">
        <f>'S-42 to GK'!X2</f>
        <v>3399306.2293901807</v>
      </c>
      <c r="D7" s="26">
        <f>'S-42 to GK'!Y2</f>
        <v>5534301.64992588</v>
      </c>
      <c r="E7" s="80">
        <f>'S-42 to GK'!Z2</f>
        <v>33</v>
      </c>
      <c r="F7" s="2" t="s">
        <v>28</v>
      </c>
      <c r="G7" s="45">
        <f>'abridged Molodensky'!Q3</f>
        <v>49.9317989716542</v>
      </c>
      <c r="H7" s="46">
        <f>'abridged Molodensky'!R3</f>
        <v>13.597523173619942</v>
      </c>
      <c r="I7" s="28">
        <f>TRUNC(G7)</f>
        <v>49</v>
      </c>
      <c r="J7" s="28">
        <f>TRUNC((G7-I7)*60)</f>
        <v>55</v>
      </c>
      <c r="K7" s="31">
        <f>3600*(G7-I7-J7/60)</f>
        <v>54.47629795513094</v>
      </c>
      <c r="L7" s="28">
        <f>TRUNC(H7)</f>
        <v>13</v>
      </c>
      <c r="M7" s="28">
        <f>TRUNC((H7-L7)*60)</f>
        <v>35</v>
      </c>
      <c r="N7" s="32">
        <f>3600*(H7-L7-M7/60)</f>
        <v>51.08342503179188</v>
      </c>
    </row>
    <row r="8" spans="1:14" ht="13.5" thickBot="1">
      <c r="A8" s="43" t="s">
        <v>27</v>
      </c>
      <c r="B8" s="44"/>
      <c r="C8" s="27">
        <f>'WGS84 to UTM'!W2</f>
        <v>399223.6556811626</v>
      </c>
      <c r="D8" s="27">
        <f>'WGS84 to UTM'!X2</f>
        <v>5531947.87594332</v>
      </c>
      <c r="E8" s="73">
        <f>'WGS84 to UTM'!Y2</f>
        <v>33</v>
      </c>
      <c r="F8" s="4" t="s">
        <v>29</v>
      </c>
      <c r="G8" s="47">
        <f>'abridged Molodensky'!Q4</f>
        <v>49.931393325952094</v>
      </c>
      <c r="H8" s="48">
        <f>'abridged Molodensky'!R4</f>
        <v>13.59579974835897</v>
      </c>
      <c r="I8" s="29">
        <f>TRUNC(G8)</f>
        <v>49</v>
      </c>
      <c r="J8" s="29">
        <f>TRUNC((G8-I8)*60)</f>
        <v>55</v>
      </c>
      <c r="K8" s="33">
        <f>3600*(G8-I8-J8/60)</f>
        <v>53.01597342753737</v>
      </c>
      <c r="L8" s="29">
        <f>TRUNC(H8)</f>
        <v>13</v>
      </c>
      <c r="M8" s="29">
        <f>TRUNC((H8-L8)*60)</f>
        <v>35</v>
      </c>
      <c r="N8" s="34">
        <f>3600*(H8-L8-M8/60)</f>
        <v>44.8790940922946</v>
      </c>
    </row>
    <row r="9" spans="9:14" ht="13.5" thickBot="1">
      <c r="I9" s="24"/>
      <c r="J9" s="24"/>
      <c r="K9" s="30"/>
      <c r="L9" s="24"/>
      <c r="M9" s="24"/>
      <c r="N9" s="30"/>
    </row>
    <row r="10" spans="1:14" ht="12.75">
      <c r="A10" s="37" t="s">
        <v>19</v>
      </c>
      <c r="B10" s="38"/>
      <c r="C10" s="38" t="s">
        <v>21</v>
      </c>
      <c r="D10" s="38" t="s">
        <v>22</v>
      </c>
      <c r="E10" s="38"/>
      <c r="F10" s="39" t="s">
        <v>116</v>
      </c>
      <c r="G10" s="38" t="s">
        <v>24</v>
      </c>
      <c r="H10" s="40" t="s">
        <v>25</v>
      </c>
      <c r="I10" s="38" t="s">
        <v>120</v>
      </c>
      <c r="J10" s="38"/>
      <c r="K10" s="38"/>
      <c r="L10" s="38" t="s">
        <v>121</v>
      </c>
      <c r="M10" s="38"/>
      <c r="N10" s="40"/>
    </row>
    <row r="11" spans="1:14" ht="12.75">
      <c r="A11" s="41"/>
      <c r="B11" s="42" t="s">
        <v>123</v>
      </c>
      <c r="C11" s="25">
        <v>3399306.2312135673</v>
      </c>
      <c r="D11" s="25">
        <v>5534301.679692035</v>
      </c>
      <c r="E11" s="81">
        <f>'GK to S-42'!AD2</f>
        <v>33</v>
      </c>
      <c r="F11" s="1" t="s">
        <v>28</v>
      </c>
      <c r="G11" s="45">
        <f>'GK to S-42'!AB2</f>
        <v>49.93179924204811</v>
      </c>
      <c r="H11" s="46">
        <f>'GK to S-42'!AC2</f>
        <v>13.597523191274105</v>
      </c>
      <c r="I11" s="28">
        <f>TRUNC(G11)</f>
        <v>49</v>
      </c>
      <c r="J11" s="28">
        <f>TRUNC((G11-I11)*60)</f>
        <v>55</v>
      </c>
      <c r="K11" s="31">
        <f>3600*(G11-I11-J11/60)</f>
        <v>54.4772713731875</v>
      </c>
      <c r="L11" s="28">
        <f>TRUNC(H11)</f>
        <v>13</v>
      </c>
      <c r="M11" s="28">
        <f>TRUNC((H11-L11)*60)</f>
        <v>35</v>
      </c>
      <c r="N11" s="32">
        <f>3600*(H11-L11-M11/60)</f>
        <v>51.08348858677716</v>
      </c>
    </row>
    <row r="12" spans="1:14" ht="12.75">
      <c r="A12" s="41" t="s">
        <v>30</v>
      </c>
      <c r="B12" s="42"/>
      <c r="C12" s="26">
        <f>'S-JTSK to Krovák'!AG2</f>
        <v>803843.2504867425</v>
      </c>
      <c r="D12" s="26">
        <f>'S-JTSK to Krovák'!AF2</f>
        <v>1051816.2614420059</v>
      </c>
      <c r="E12" s="2"/>
      <c r="F12" s="1" t="s">
        <v>23</v>
      </c>
      <c r="G12" s="45">
        <f>'abridged Molodensky'!Q6</f>
        <v>49.93208856401401</v>
      </c>
      <c r="H12" s="46">
        <f>'abridged Molodensky'!R6</f>
        <v>13.59669981596491</v>
      </c>
      <c r="I12" s="28">
        <f>TRUNC(G12)</f>
        <v>49</v>
      </c>
      <c r="J12" s="28">
        <f>TRUNC((G12-I12)*60)</f>
        <v>55</v>
      </c>
      <c r="K12" s="31">
        <f>3600*(G12-I12-J12/60)</f>
        <v>55.51883045043282</v>
      </c>
      <c r="L12" s="28">
        <f>TRUNC(H12)</f>
        <v>13</v>
      </c>
      <c r="M12" s="28">
        <f>TRUNC((H12-L12)*60)</f>
        <v>35</v>
      </c>
      <c r="N12" s="32">
        <f>3600*(H12-L12-M12/60)</f>
        <v>48.11933747367889</v>
      </c>
    </row>
    <row r="13" spans="1:14" ht="13.5" thickBot="1">
      <c r="A13" s="43" t="s">
        <v>27</v>
      </c>
      <c r="B13" s="44"/>
      <c r="C13" s="27">
        <f>'WGS84 to UTM'!W3</f>
        <v>399223.67554982007</v>
      </c>
      <c r="D13" s="27">
        <f>'WGS84 to UTM'!X3</f>
        <v>5531947.911969145</v>
      </c>
      <c r="E13" s="35">
        <f>'WGS84 to UTM'!Y3</f>
        <v>33</v>
      </c>
      <c r="F13" s="3" t="s">
        <v>29</v>
      </c>
      <c r="G13" s="47">
        <f>'abridged Molodensky'!Q7</f>
        <v>49.93139365322799</v>
      </c>
      <c r="H13" s="48">
        <f>'abridged Molodensky'!R7</f>
        <v>13.595800015703846</v>
      </c>
      <c r="I13" s="29">
        <f>TRUNC(G13)</f>
        <v>49</v>
      </c>
      <c r="J13" s="29">
        <f>TRUNC((G13-I13)*60)</f>
        <v>55</v>
      </c>
      <c r="K13" s="33">
        <f>3600*(G13-I13-J13/60)</f>
        <v>53.01715162077314</v>
      </c>
      <c r="L13" s="29">
        <f>TRUNC(H13)</f>
        <v>13</v>
      </c>
      <c r="M13" s="29">
        <f>TRUNC((H13-L13)*60)</f>
        <v>35</v>
      </c>
      <c r="N13" s="34">
        <f>3600*(H13-L13-M13/60)</f>
        <v>44.88005653384506</v>
      </c>
    </row>
    <row r="14" spans="9:14" ht="13.5" thickBot="1">
      <c r="I14" s="24"/>
      <c r="J14" s="24"/>
      <c r="K14" s="30"/>
      <c r="L14" s="24"/>
      <c r="M14" s="24"/>
      <c r="N14" s="30"/>
    </row>
    <row r="15" spans="1:14" ht="12.75">
      <c r="A15" s="37" t="s">
        <v>20</v>
      </c>
      <c r="B15" s="38"/>
      <c r="C15" s="38" t="s">
        <v>21</v>
      </c>
      <c r="D15" s="38" t="s">
        <v>22</v>
      </c>
      <c r="E15" s="38"/>
      <c r="F15" s="39" t="s">
        <v>116</v>
      </c>
      <c r="G15" s="38" t="s">
        <v>24</v>
      </c>
      <c r="H15" s="40" t="s">
        <v>25</v>
      </c>
      <c r="I15" s="38" t="s">
        <v>120</v>
      </c>
      <c r="J15" s="38"/>
      <c r="K15" s="38"/>
      <c r="L15" s="38" t="s">
        <v>121</v>
      </c>
      <c r="M15" s="38"/>
      <c r="N15" s="40"/>
    </row>
    <row r="16" spans="1:14" ht="12.75">
      <c r="A16" s="41"/>
      <c r="B16" s="42" t="s">
        <v>123</v>
      </c>
      <c r="C16" s="25">
        <v>399223.6876595596</v>
      </c>
      <c r="D16" s="25">
        <v>5531948.617608938</v>
      </c>
      <c r="E16" s="36">
        <v>33</v>
      </c>
      <c r="F16" s="1" t="s">
        <v>29</v>
      </c>
      <c r="G16" s="45">
        <f>'UTM to WGS84'!AB2</f>
        <v>49.931400002558576</v>
      </c>
      <c r="H16" s="46">
        <f>'UTM to WGS84'!AC2</f>
        <v>13.595800000031602</v>
      </c>
      <c r="I16" s="28">
        <f>TRUNC(G16)</f>
        <v>49</v>
      </c>
      <c r="J16" s="28">
        <f>TRUNC((G16-I16)*60)</f>
        <v>55</v>
      </c>
      <c r="K16" s="31">
        <f>3600*(G16-I16-J16/60)</f>
        <v>53.04000921087222</v>
      </c>
      <c r="L16" s="28">
        <f>TRUNC(H16)</f>
        <v>13</v>
      </c>
      <c r="M16" s="28">
        <f>TRUNC((H16-L16)*60)</f>
        <v>35</v>
      </c>
      <c r="N16" s="32">
        <f>3600*(H16-L16-M16/60)</f>
        <v>44.88000011376685</v>
      </c>
    </row>
    <row r="17" spans="1:14" ht="12.75">
      <c r="A17" s="41" t="s">
        <v>30</v>
      </c>
      <c r="B17" s="42"/>
      <c r="C17" s="26">
        <f>'S-JTSK to Krovák'!AG3</f>
        <v>803843.2695200843</v>
      </c>
      <c r="D17" s="26">
        <f>'S-JTSK to Krovák'!AF3</f>
        <v>1051816.264752953</v>
      </c>
      <c r="E17" s="2"/>
      <c r="F17" s="1" t="s">
        <v>23</v>
      </c>
      <c r="G17" s="45">
        <f>'abridged Molodensky'!Q9</f>
        <v>49.93208850936938</v>
      </c>
      <c r="H17" s="46">
        <f>'abridged Molodensky'!R9</f>
        <v>13.596699560486533</v>
      </c>
      <c r="I17" s="28">
        <f>TRUNC(G17)</f>
        <v>49</v>
      </c>
      <c r="J17" s="28">
        <f>TRUNC((G17-I17)*60)</f>
        <v>55</v>
      </c>
      <c r="K17" s="31">
        <f>3600*(G17-I17-J17/60)</f>
        <v>55.51863372976427</v>
      </c>
      <c r="L17" s="28">
        <f>TRUNC(H17)</f>
        <v>13</v>
      </c>
      <c r="M17" s="28">
        <f>TRUNC((H17-L17)*60)</f>
        <v>35</v>
      </c>
      <c r="N17" s="32">
        <f>3600*(H17-L17-M17/60)</f>
        <v>48.11841775151806</v>
      </c>
    </row>
    <row r="18" spans="1:14" ht="13.5" thickBot="1">
      <c r="A18" s="43" t="s">
        <v>26</v>
      </c>
      <c r="B18" s="44"/>
      <c r="C18" s="27">
        <f>'S-42 to GK'!X3</f>
        <v>3399306.2312211744</v>
      </c>
      <c r="D18" s="27">
        <f>'S-42 to GK'!Y3</f>
        <v>5534301.679976565</v>
      </c>
      <c r="E18" s="78">
        <f>'S-42 to GK'!Z3</f>
        <v>33</v>
      </c>
      <c r="F18" s="3" t="s">
        <v>28</v>
      </c>
      <c r="G18" s="47">
        <f>'abridged Molodensky'!Q10</f>
        <v>49.93179924204945</v>
      </c>
      <c r="H18" s="48">
        <f>'abridged Molodensky'!R10</f>
        <v>13.597523191274675</v>
      </c>
      <c r="I18" s="29">
        <f>TRUNC(G18)</f>
        <v>49</v>
      </c>
      <c r="J18" s="29">
        <f>TRUNC((G18-I18)*60)</f>
        <v>55</v>
      </c>
      <c r="K18" s="33">
        <f>3600*(G18-I18-J18/60)</f>
        <v>54.47727137802203</v>
      </c>
      <c r="L18" s="29">
        <f>TRUNC(H18)</f>
        <v>13</v>
      </c>
      <c r="M18" s="29">
        <f>TRUNC((H18-L18)*60)</f>
        <v>35</v>
      </c>
      <c r="N18" s="34">
        <f>3600*(H18-L18-M18/60)</f>
        <v>51.083488588829915</v>
      </c>
    </row>
    <row r="19" ht="12.75">
      <c r="A19" t="s">
        <v>119</v>
      </c>
    </row>
    <row r="20" ht="12.75">
      <c r="A20" s="50" t="s">
        <v>154</v>
      </c>
    </row>
    <row r="21" ht="12.75">
      <c r="B21" s="19" t="s">
        <v>153</v>
      </c>
    </row>
    <row r="22" ht="12.75">
      <c r="A22" t="s">
        <v>118</v>
      </c>
    </row>
    <row r="23" ht="12.75">
      <c r="B23" t="s">
        <v>122</v>
      </c>
    </row>
    <row r="25" ht="13.5" thickBot="1"/>
    <row r="26" spans="1:14" ht="12.75">
      <c r="A26" s="58" t="s">
        <v>165</v>
      </c>
      <c r="B26" s="59"/>
      <c r="C26" s="59" t="s">
        <v>24</v>
      </c>
      <c r="D26" s="59" t="s">
        <v>25</v>
      </c>
      <c r="E26" s="68"/>
      <c r="F26" s="39" t="s">
        <v>116</v>
      </c>
      <c r="G26" s="38" t="s">
        <v>24</v>
      </c>
      <c r="H26" s="40" t="s">
        <v>25</v>
      </c>
      <c r="I26" s="38" t="s">
        <v>120</v>
      </c>
      <c r="J26" s="38"/>
      <c r="K26" s="38"/>
      <c r="L26" s="38" t="s">
        <v>121</v>
      </c>
      <c r="M26" s="38"/>
      <c r="N26" s="40"/>
    </row>
    <row r="27" spans="1:14" ht="13.5" thickBot="1">
      <c r="A27" s="56"/>
      <c r="B27" s="69" t="s">
        <v>123</v>
      </c>
      <c r="C27" s="70">
        <v>49.9314</v>
      </c>
      <c r="D27" s="70">
        <v>13.5958</v>
      </c>
      <c r="E27" s="71"/>
      <c r="F27" s="1"/>
      <c r="G27" s="45"/>
      <c r="H27" s="46"/>
      <c r="I27" s="28"/>
      <c r="J27" s="28"/>
      <c r="K27" s="31"/>
      <c r="L27" s="28"/>
      <c r="M27" s="28"/>
      <c r="N27" s="32"/>
    </row>
    <row r="28" spans="1:14" ht="12.75">
      <c r="A28" s="56"/>
      <c r="B28" s="69"/>
      <c r="C28" s="38" t="s">
        <v>21</v>
      </c>
      <c r="D28" s="38" t="s">
        <v>22</v>
      </c>
      <c r="E28" s="2"/>
      <c r="F28" s="1"/>
      <c r="G28" s="45"/>
      <c r="H28" s="46"/>
      <c r="I28" s="28"/>
      <c r="J28" s="28"/>
      <c r="K28" s="31"/>
      <c r="L28" s="28"/>
      <c r="M28" s="28"/>
      <c r="N28" s="32"/>
    </row>
    <row r="29" spans="1:14" ht="12.75">
      <c r="A29" s="56" t="s">
        <v>30</v>
      </c>
      <c r="B29" s="69"/>
      <c r="C29" s="26">
        <f>'S-JTSK to Krovák'!AG4</f>
        <v>803843.2695642215</v>
      </c>
      <c r="D29" s="26">
        <f>'S-JTSK to Krovák'!AF4</f>
        <v>1051816.2650340772</v>
      </c>
      <c r="E29" s="2"/>
      <c r="F29" s="1" t="s">
        <v>23</v>
      </c>
      <c r="G29" s="45">
        <f>'abridged Molodensky'!Q12</f>
        <v>49.932088506810494</v>
      </c>
      <c r="H29" s="46">
        <f>'abridged Molodensky'!R12</f>
        <v>13.59669956045488</v>
      </c>
      <c r="I29" s="28">
        <f>TRUNC(G29)</f>
        <v>49</v>
      </c>
      <c r="J29" s="28">
        <f>TRUNC((G29-I29)*60)</f>
        <v>55</v>
      </c>
      <c r="K29" s="31">
        <f>3600*(G29-I29-J29/60)</f>
        <v>55.51862451777949</v>
      </c>
      <c r="L29" s="28">
        <f>TRUNC(H29)</f>
        <v>13</v>
      </c>
      <c r="M29" s="28">
        <f>TRUNC((H29-L29)*60)</f>
        <v>35</v>
      </c>
      <c r="N29" s="32">
        <f>3600*(H29-L29-M29/60)</f>
        <v>48.11841763756761</v>
      </c>
    </row>
    <row r="30" spans="1:14" ht="12.75">
      <c r="A30" s="56" t="s">
        <v>26</v>
      </c>
      <c r="B30" s="69"/>
      <c r="C30" s="28">
        <f>'S-42 to GK'!X4</f>
        <v>3399306.2312135673</v>
      </c>
      <c r="D30" s="28">
        <f>'S-42 to GK'!Y4</f>
        <v>5534301.679692035</v>
      </c>
      <c r="E30" s="79">
        <v>33</v>
      </c>
      <c r="F30" s="1" t="s">
        <v>28</v>
      </c>
      <c r="G30" s="45">
        <f>'abridged Molodensky'!Q13</f>
        <v>49.9317992394909</v>
      </c>
      <c r="H30" s="46">
        <f>'abridged Molodensky'!R13</f>
        <v>13.597523191242983</v>
      </c>
      <c r="I30" s="28">
        <f>TRUNC(G30)</f>
        <v>49</v>
      </c>
      <c r="J30" s="28">
        <f>TRUNC((G30-I30)*60)</f>
        <v>55</v>
      </c>
      <c r="K30" s="31">
        <f>3600*(G30-I30-J30/60)</f>
        <v>54.477262167239495</v>
      </c>
      <c r="L30" s="28">
        <f>TRUNC(H30)</f>
        <v>13</v>
      </c>
      <c r="M30" s="28">
        <f>TRUNC((H30-L30)*60)</f>
        <v>35</v>
      </c>
      <c r="N30" s="32">
        <f>3600*(H30-L30-M30/60)</f>
        <v>51.08348847473878</v>
      </c>
    </row>
    <row r="31" spans="1:14" ht="13.5" thickBot="1">
      <c r="A31" s="57" t="s">
        <v>27</v>
      </c>
      <c r="B31" s="72"/>
      <c r="C31" s="27">
        <f>'WGS84 to UTM'!W4</f>
        <v>399223.6876595596</v>
      </c>
      <c r="D31" s="27">
        <f>'WGS84 to UTM'!X4</f>
        <v>5531948.617608938</v>
      </c>
      <c r="E31" s="73">
        <f>'WGS84 to UTM'!Y4</f>
        <v>33</v>
      </c>
      <c r="F31" s="3"/>
      <c r="G31" s="47"/>
      <c r="H31" s="48"/>
      <c r="I31" s="29"/>
      <c r="J31" s="29"/>
      <c r="K31" s="33"/>
      <c r="L31" s="29"/>
      <c r="M31" s="29"/>
      <c r="N31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F14"/>
  <sheetViews>
    <sheetView workbookViewId="0" topLeftCell="A1">
      <selection activeCell="D12" sqref="D12"/>
    </sheetView>
  </sheetViews>
  <sheetFormatPr defaultColWidth="9.140625" defaultRowHeight="12.75"/>
  <sheetData>
    <row r="1" ht="12.75">
      <c r="A1" s="19" t="s">
        <v>128</v>
      </c>
    </row>
    <row r="2" ht="12.75">
      <c r="A2" s="49" t="s">
        <v>124</v>
      </c>
    </row>
    <row r="4" ht="12.75">
      <c r="A4" s="19" t="s">
        <v>151</v>
      </c>
    </row>
    <row r="5" ht="13.5" thickBot="1">
      <c r="A5" t="s">
        <v>148</v>
      </c>
    </row>
    <row r="6" spans="1:3" ht="12.75">
      <c r="A6" s="5" t="s">
        <v>34</v>
      </c>
      <c r="B6" s="6"/>
      <c r="C6" s="7"/>
    </row>
    <row r="7" spans="1:4" ht="12.75">
      <c r="A7" s="8" t="s">
        <v>35</v>
      </c>
      <c r="B7" s="9" t="s">
        <v>36</v>
      </c>
      <c r="C7" s="10" t="s">
        <v>37</v>
      </c>
      <c r="D7" s="22" t="s">
        <v>85</v>
      </c>
    </row>
    <row r="8" spans="1:4" ht="13.5" thickBot="1">
      <c r="A8" s="11">
        <v>17</v>
      </c>
      <c r="B8" s="12">
        <v>40</v>
      </c>
      <c r="C8" s="13">
        <v>0</v>
      </c>
      <c r="D8">
        <f>A8+B8/60+C8/3600</f>
        <v>17.666666666666668</v>
      </c>
    </row>
    <row r="9" ht="13.5" thickBot="1"/>
    <row r="10" spans="1:6" ht="12.75">
      <c r="A10" s="5" t="s">
        <v>117</v>
      </c>
      <c r="B10" s="6"/>
      <c r="C10" s="6"/>
      <c r="D10" s="6" t="s">
        <v>8</v>
      </c>
      <c r="E10" s="6" t="s">
        <v>9</v>
      </c>
      <c r="F10" s="7" t="s">
        <v>10</v>
      </c>
    </row>
    <row r="11" spans="1:6" ht="12.75">
      <c r="A11" s="8" t="s">
        <v>38</v>
      </c>
      <c r="B11" s="9"/>
      <c r="C11" s="9"/>
      <c r="D11" s="14">
        <v>589</v>
      </c>
      <c r="E11" s="14">
        <v>76</v>
      </c>
      <c r="F11" s="15">
        <v>480</v>
      </c>
    </row>
    <row r="12" spans="1:6" ht="12.75">
      <c r="A12" s="8" t="s">
        <v>155</v>
      </c>
      <c r="B12" s="9"/>
      <c r="C12" s="9"/>
      <c r="D12" s="14">
        <v>-26</v>
      </c>
      <c r="E12" s="14">
        <v>121</v>
      </c>
      <c r="F12" s="15">
        <v>78</v>
      </c>
    </row>
    <row r="13" spans="1:6" ht="12.75">
      <c r="A13" s="8" t="s">
        <v>39</v>
      </c>
      <c r="B13" s="9"/>
      <c r="C13" s="9"/>
      <c r="D13" s="14">
        <v>-563</v>
      </c>
      <c r="E13" s="14">
        <v>-197</v>
      </c>
      <c r="F13" s="15">
        <v>-558</v>
      </c>
    </row>
    <row r="14" spans="1:6" ht="13.5" thickBot="1">
      <c r="A14" s="20" t="s">
        <v>40</v>
      </c>
      <c r="B14" s="16"/>
      <c r="C14" s="16"/>
      <c r="D14" s="17">
        <f>SUM(D11:D13)</f>
        <v>0</v>
      </c>
      <c r="E14" s="17">
        <f>SUM(E11:E13)</f>
        <v>0</v>
      </c>
      <c r="F14" s="18">
        <f>SUM(F11:F13)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C22"/>
  <sheetViews>
    <sheetView workbookViewId="0" topLeftCell="A1">
      <selection activeCell="C15" sqref="C15"/>
    </sheetView>
  </sheetViews>
  <sheetFormatPr defaultColWidth="9.140625" defaultRowHeight="12.75"/>
  <sheetData>
    <row r="1" ht="12.75">
      <c r="A1" s="19" t="s">
        <v>129</v>
      </c>
    </row>
    <row r="2" ht="12.75">
      <c r="A2" s="49" t="s">
        <v>124</v>
      </c>
    </row>
    <row r="4" spans="1:3" ht="12.75">
      <c r="A4" s="19" t="s">
        <v>130</v>
      </c>
      <c r="C4" t="s">
        <v>152</v>
      </c>
    </row>
    <row r="5" ht="12.75">
      <c r="C5" t="s">
        <v>131</v>
      </c>
    </row>
    <row r="6" ht="12.75">
      <c r="C6" t="s">
        <v>132</v>
      </c>
    </row>
    <row r="7" ht="12.75">
      <c r="C7" t="s">
        <v>133</v>
      </c>
    </row>
    <row r="8" ht="12.75">
      <c r="C8" t="s">
        <v>134</v>
      </c>
    </row>
    <row r="9" spans="1:3" ht="12.75">
      <c r="A9" s="19" t="s">
        <v>135</v>
      </c>
      <c r="C9" t="s">
        <v>136</v>
      </c>
    </row>
    <row r="10" ht="12.75">
      <c r="C10" t="s">
        <v>137</v>
      </c>
    </row>
    <row r="11" ht="12.75">
      <c r="C11" t="s">
        <v>171</v>
      </c>
    </row>
    <row r="12" ht="12.75">
      <c r="C12" t="s">
        <v>172</v>
      </c>
    </row>
    <row r="13" ht="12.75">
      <c r="C13" t="s">
        <v>138</v>
      </c>
    </row>
    <row r="14" ht="12.75">
      <c r="C14" t="s">
        <v>173</v>
      </c>
    </row>
    <row r="15" ht="12.75">
      <c r="C15" s="76" t="s">
        <v>139</v>
      </c>
    </row>
    <row r="16" spans="1:3" ht="12.75">
      <c r="A16" s="19" t="s">
        <v>141</v>
      </c>
      <c r="C16" t="s">
        <v>142</v>
      </c>
    </row>
    <row r="17" ht="12.75">
      <c r="C17" t="s">
        <v>143</v>
      </c>
    </row>
    <row r="18" spans="1:3" ht="12.75">
      <c r="A18" s="19" t="s">
        <v>140</v>
      </c>
      <c r="C18" t="s">
        <v>144</v>
      </c>
    </row>
    <row r="19" ht="12.75">
      <c r="C19" t="s">
        <v>145</v>
      </c>
    </row>
    <row r="20" ht="12.75">
      <c r="C20" t="s">
        <v>146</v>
      </c>
    </row>
    <row r="22" spans="1:3" ht="12.75">
      <c r="A22" s="19" t="s">
        <v>147</v>
      </c>
      <c r="C22" t="s">
        <v>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D5"/>
  <sheetViews>
    <sheetView workbookViewId="0" topLeftCell="A1">
      <selection activeCell="B5" sqref="B5"/>
    </sheetView>
  </sheetViews>
  <sheetFormatPr defaultColWidth="9.140625" defaultRowHeight="12.75"/>
  <cols>
    <col min="2" max="2" width="10.140625" style="0" bestFit="1" customWidth="1"/>
  </cols>
  <sheetData>
    <row r="1" spans="1:4" ht="12.75">
      <c r="A1" t="s">
        <v>160</v>
      </c>
      <c r="B1" t="s">
        <v>157</v>
      </c>
      <c r="D1" t="s">
        <v>158</v>
      </c>
    </row>
    <row r="2" spans="1:4" ht="12.75">
      <c r="A2" s="52">
        <v>1.1</v>
      </c>
      <c r="B2" s="51">
        <v>38402</v>
      </c>
      <c r="D2" t="s">
        <v>159</v>
      </c>
    </row>
    <row r="5" spans="2:4" ht="12.75">
      <c r="B5" s="51">
        <v>39083</v>
      </c>
      <c r="D5" t="s">
        <v>169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R13"/>
  <sheetViews>
    <sheetView workbookViewId="0" topLeftCell="A1">
      <selection activeCell="A12" sqref="A12"/>
    </sheetView>
  </sheetViews>
  <sheetFormatPr defaultColWidth="9.140625" defaultRowHeight="12.75"/>
  <cols>
    <col min="9" max="11" width="4.28125" style="0" customWidth="1"/>
  </cols>
  <sheetData>
    <row r="1" spans="1:18" ht="12.75">
      <c r="A1" t="s">
        <v>4</v>
      </c>
      <c r="B1" t="s">
        <v>5</v>
      </c>
      <c r="C1" t="s">
        <v>6</v>
      </c>
      <c r="D1" t="s">
        <v>7</v>
      </c>
      <c r="E1" t="s">
        <v>0</v>
      </c>
      <c r="F1" t="s">
        <v>1</v>
      </c>
      <c r="G1" t="s">
        <v>2</v>
      </c>
      <c r="H1" t="s">
        <v>3</v>
      </c>
      <c r="I1" t="s">
        <v>8</v>
      </c>
      <c r="J1" t="s">
        <v>9</v>
      </c>
      <c r="K1" t="s">
        <v>10</v>
      </c>
      <c r="L1" t="s">
        <v>13</v>
      </c>
      <c r="M1" t="s">
        <v>11</v>
      </c>
      <c r="N1" t="s">
        <v>12</v>
      </c>
      <c r="O1" t="s">
        <v>14</v>
      </c>
      <c r="P1" t="s">
        <v>15</v>
      </c>
      <c r="Q1" t="s">
        <v>16</v>
      </c>
      <c r="R1" t="s">
        <v>17</v>
      </c>
    </row>
    <row r="2" ht="12.75">
      <c r="A2" t="s">
        <v>31</v>
      </c>
    </row>
    <row r="3" spans="1:18" ht="12.75">
      <c r="A3">
        <f>Main!G6</f>
        <v>49.93208850681043</v>
      </c>
      <c r="B3">
        <f>Main!H6</f>
        <v>13.596699560454883</v>
      </c>
      <c r="C3">
        <f>A3*PI()/180</f>
        <v>0.8714793468410611</v>
      </c>
      <c r="D3">
        <f>B3*PI()/180</f>
        <v>0.2373071747344035</v>
      </c>
      <c r="E3">
        <v>6377397.155</v>
      </c>
      <c r="F3">
        <v>0.003342773182174806</v>
      </c>
      <c r="G3">
        <v>6378245</v>
      </c>
      <c r="H3">
        <v>0.003352329869259135</v>
      </c>
      <c r="I3">
        <f>-Parameters!D13</f>
        <v>563</v>
      </c>
      <c r="J3">
        <f>-Parameters!E13</f>
        <v>197</v>
      </c>
      <c r="K3">
        <f>-Parameters!F13</f>
        <v>558</v>
      </c>
      <c r="L3">
        <f>SQRT(2*F3-F3*F3)</f>
        <v>0.08169683122252751</v>
      </c>
      <c r="M3">
        <f>E3*(1-L3*L3)/POWER((1-L3*L3*SIN(C3)*SIN(C3)),1.5)</f>
        <v>6372157.592003415</v>
      </c>
      <c r="N3">
        <f>E3/SQRT(1-L3*L3*SIN(C3)*SIN(C3))</f>
        <v>6389898.087438129</v>
      </c>
      <c r="O3">
        <f>(-I3*SIN(C3)*COS(D3)-J3*SIN(C3)*SIN(D3)+K3*COS(C3)+(E3*(H3-F3)+F3*(G3-E3))*SIN(2*C3))/(M3*SIN(PI()/180/3600))</f>
        <v>-1.0423265624146165</v>
      </c>
      <c r="P3">
        <f>(-I3*SIN(D3)+J3*COS(D3))/(N3*COS(C3)*SIN(PI()/180/3600))</f>
        <v>2.9650073942107085</v>
      </c>
      <c r="Q3">
        <f>A3+O3/3600</f>
        <v>49.9317989716542</v>
      </c>
      <c r="R3">
        <f>B3+P3/3600</f>
        <v>13.597523173619942</v>
      </c>
    </row>
    <row r="4" spans="1:18" ht="12.75">
      <c r="A4">
        <f>Main!G6</f>
        <v>49.93208850681043</v>
      </c>
      <c r="B4">
        <f>Main!H6</f>
        <v>13.596699560454883</v>
      </c>
      <c r="C4">
        <f>A4*PI()/180</f>
        <v>0.8714793468410611</v>
      </c>
      <c r="D4">
        <f>B4*PI()/180</f>
        <v>0.2373071747344035</v>
      </c>
      <c r="E4">
        <v>6377397.155</v>
      </c>
      <c r="F4">
        <v>0.003342773182174806</v>
      </c>
      <c r="G4">
        <v>6378137</v>
      </c>
      <c r="H4">
        <v>0.0033528106647474805</v>
      </c>
      <c r="I4">
        <f>Parameters!D11</f>
        <v>589</v>
      </c>
      <c r="J4">
        <f>Parameters!E11</f>
        <v>76</v>
      </c>
      <c r="K4">
        <f>Parameters!F11</f>
        <v>480</v>
      </c>
      <c r="L4">
        <f>SQRT(2*F4-F4*F4)</f>
        <v>0.08169683122252751</v>
      </c>
      <c r="M4">
        <f>E4*(1-L4*L4)/POWER((1-L4*L4*SIN(C4)*SIN(C4)),1.5)</f>
        <v>6372157.592003415</v>
      </c>
      <c r="N4">
        <f>E4/SQRT(1-L4*L4*SIN(C4)*SIN(C4))</f>
        <v>6389898.087438129</v>
      </c>
      <c r="O4">
        <f>(-I4*SIN(C4)*COS(D4)-J4*SIN(C4)*SIN(D4)+K4*COS(C4)+(E4*(H4-F4)+F4*(G4-E4))*SIN(2*C4))/(M4*SIN(PI()/180/3600))</f>
        <v>-2.502651090013756</v>
      </c>
      <c r="P4">
        <f>(-I4*SIN(D4)+J4*COS(D4))/(N4*COS(C4)*SIN(PI()/180/3600))</f>
        <v>-3.239323545283004</v>
      </c>
      <c r="Q4">
        <f>A4+O4/3600</f>
        <v>49.931393325952094</v>
      </c>
      <c r="R4">
        <f>B4+P4/3600</f>
        <v>13.59579974835897</v>
      </c>
    </row>
    <row r="5" ht="12.75">
      <c r="A5" t="s">
        <v>32</v>
      </c>
    </row>
    <row r="6" spans="1:18" ht="12.75">
      <c r="A6">
        <f>Main!G11</f>
        <v>49.93179924204811</v>
      </c>
      <c r="B6">
        <f>Main!H11</f>
        <v>13.597523191274105</v>
      </c>
      <c r="C6">
        <f>A6*PI()/180</f>
        <v>0.8714742982185486</v>
      </c>
      <c r="D6">
        <f>B6*PI()/180</f>
        <v>0.23732154980401982</v>
      </c>
      <c r="E6">
        <v>6378245</v>
      </c>
      <c r="F6">
        <v>0.003352329869259135</v>
      </c>
      <c r="G6">
        <v>6377397.155</v>
      </c>
      <c r="H6">
        <v>0.003342773182174806</v>
      </c>
      <c r="I6">
        <f>Parameters!D13</f>
        <v>-563</v>
      </c>
      <c r="J6">
        <f>Parameters!E13</f>
        <v>-197</v>
      </c>
      <c r="K6">
        <f>Parameters!F13</f>
        <v>-558</v>
      </c>
      <c r="L6">
        <f>SQRT(2*F6-F6*F6)</f>
        <v>0.08181333401693115</v>
      </c>
      <c r="M6">
        <f>E6*(1-L6*L6)/POWER((1-L6*L6*SIN(C6)*SIN(C6)),1.5)</f>
        <v>6372989.270985456</v>
      </c>
      <c r="N6">
        <f>E6/SQRT(1-L6*L6*SIN(C6)*SIN(C6))</f>
        <v>6390783.276642406</v>
      </c>
      <c r="O6">
        <f>(-I6*SIN(C6)*COS(D6)-J6*SIN(C6)*SIN(D6)+K6*COS(C6)+(E6*(H6-F6)+F6*(G6-E6))*SIN(2*C6))/(M6*SIN(PI()/180/3600))</f>
        <v>1.041559077238211</v>
      </c>
      <c r="P6">
        <f>(-I6*SIN(D6)+J6*COS(D6))/(N6*COS(C6)*SIN(PI()/180/3600))</f>
        <v>-2.964151113098483</v>
      </c>
      <c r="Q6">
        <f>A6+O6/3600</f>
        <v>49.93208856401401</v>
      </c>
      <c r="R6">
        <f>B6+P6/3600</f>
        <v>13.59669981596491</v>
      </c>
    </row>
    <row r="7" spans="1:18" ht="12.75">
      <c r="A7">
        <f>Main!G11</f>
        <v>49.93179924204811</v>
      </c>
      <c r="B7">
        <f>Main!H11</f>
        <v>13.597523191274105</v>
      </c>
      <c r="C7">
        <f>A7*PI()/180</f>
        <v>0.8714742982185486</v>
      </c>
      <c r="D7">
        <f>B7*PI()/180</f>
        <v>0.23732154980401982</v>
      </c>
      <c r="E7">
        <v>6378245</v>
      </c>
      <c r="F7">
        <v>0.003352329869259135</v>
      </c>
      <c r="G7">
        <v>6378137</v>
      </c>
      <c r="H7">
        <v>0.0033528106647474805</v>
      </c>
      <c r="I7">
        <f>-Parameters!D12</f>
        <v>26</v>
      </c>
      <c r="J7">
        <f>-Parameters!E12</f>
        <v>-121</v>
      </c>
      <c r="K7">
        <f>-Parameters!F12</f>
        <v>-78</v>
      </c>
      <c r="L7">
        <f>SQRT(2*F7-F7*F7)</f>
        <v>0.08181333401693115</v>
      </c>
      <c r="M7">
        <f>E7*(1-L7*L7)/POWER((1-L7*L7*SIN(C7)*SIN(C7)),1.5)</f>
        <v>6372989.270985456</v>
      </c>
      <c r="N7">
        <f>E7/SQRT(1-L7*L7*SIN(C7)*SIN(C7))</f>
        <v>6390783.276642406</v>
      </c>
      <c r="O7">
        <f>(-I7*SIN(C7)*COS(D7)-J7*SIN(C7)*SIN(D7)+K7*COS(C7)+(E7*(H7-F7)+F7*(G7-E7))*SIN(2*C7))/(M7*SIN(PI()/180/3600))</f>
        <v>-1.4601197524067575</v>
      </c>
      <c r="P7">
        <f>(-I7*SIN(D7)+J7*COS(D7))/(N7*COS(C7)*SIN(PI()/180/3600))</f>
        <v>-6.203432052929503</v>
      </c>
      <c r="Q7">
        <f>A7+O7/3600</f>
        <v>49.93139365322799</v>
      </c>
      <c r="R7">
        <f>B7+P7/3600</f>
        <v>13.595800015703846</v>
      </c>
    </row>
    <row r="8" ht="12.75">
      <c r="A8" t="s">
        <v>33</v>
      </c>
    </row>
    <row r="9" spans="1:18" ht="12.75">
      <c r="A9">
        <f>Main!G16</f>
        <v>49.931400002558576</v>
      </c>
      <c r="B9">
        <f>Main!H16</f>
        <v>13.595800000031602</v>
      </c>
      <c r="C9">
        <f>A9*PI()/180</f>
        <v>0.8714673301749521</v>
      </c>
      <c r="D9">
        <f>B9*PI()/180</f>
        <v>0.23729147444319662</v>
      </c>
      <c r="E9">
        <v>6378137</v>
      </c>
      <c r="F9">
        <v>0.003352923712996414</v>
      </c>
      <c r="G9">
        <v>6377397.155</v>
      </c>
      <c r="H9">
        <v>0.003342773182174806</v>
      </c>
      <c r="I9">
        <f>-Parameters!D11</f>
        <v>-589</v>
      </c>
      <c r="J9">
        <f>-Parameters!E11</f>
        <v>-76</v>
      </c>
      <c r="K9">
        <f>-Parameters!F11</f>
        <v>-480</v>
      </c>
      <c r="L9">
        <f>SQRT(2*F9-F9*F9)</f>
        <v>0.08182056788221195</v>
      </c>
      <c r="M9">
        <f>E9*(1-L9*L9)/POWER((1-L9*L9*SIN(C9)*SIN(C9)),1.5)</f>
        <v>6372879.977439056</v>
      </c>
      <c r="N9">
        <f>E9/SQRT(1-L9*L9*SIN(C9)*SIN(C9))</f>
        <v>6390677.140756826</v>
      </c>
      <c r="O9">
        <f>(-I9*SIN(C9)*COS(D9)-J9*SIN(C9)*SIN(D9)+K9*COS(C9)+(E9*(H9-F9)+F9*(G9-E9))*SIN(2*C9))/(M9*SIN(PI()/180/3600))</f>
        <v>2.478624518894158</v>
      </c>
      <c r="P9">
        <f>(-I9*SIN(D9)+J9*COS(D9))/(N9*COS(C9)*SIN(PI()/180/3600))</f>
        <v>3.2384176377529483</v>
      </c>
      <c r="Q9">
        <f>A9+O9/3600</f>
        <v>49.93208850936938</v>
      </c>
      <c r="R9">
        <f>B9+P9/3600</f>
        <v>13.596699560486533</v>
      </c>
    </row>
    <row r="10" spans="1:18" ht="12.75">
      <c r="A10">
        <f>Main!G16</f>
        <v>49.931400002558576</v>
      </c>
      <c r="B10">
        <f>Main!H16</f>
        <v>13.595800000031602</v>
      </c>
      <c r="C10">
        <f>A10*PI()/180</f>
        <v>0.8714673301749521</v>
      </c>
      <c r="D10">
        <f>B10*PI()/180</f>
        <v>0.23729147444319662</v>
      </c>
      <c r="E10">
        <v>6378137</v>
      </c>
      <c r="F10">
        <v>0.003352923712996414</v>
      </c>
      <c r="G10">
        <v>6378245</v>
      </c>
      <c r="H10">
        <v>0.003352329869259135</v>
      </c>
      <c r="I10">
        <f>Parameters!D12</f>
        <v>-26</v>
      </c>
      <c r="J10">
        <f>Parameters!E12</f>
        <v>121</v>
      </c>
      <c r="K10">
        <f>Parameters!F12</f>
        <v>78</v>
      </c>
      <c r="L10">
        <f>SQRT(2*F10-F10*F10)</f>
        <v>0.08182056788221195</v>
      </c>
      <c r="M10">
        <f>E10*(1-L10*L10)/POWER((1-L10*L10*SIN(C10)*SIN(C10)),1.5)</f>
        <v>6372879.977439056</v>
      </c>
      <c r="N10">
        <f>E10/SQRT(1-L10*L10*SIN(C10)*SIN(C10))</f>
        <v>6390677.140756826</v>
      </c>
      <c r="O10">
        <f>(-I10*SIN(C10)*COS(D10)-J10*SIN(C10)*SIN(D10)+K10*COS(C10)+(E10*(H10-F10)+F10*(G10-E10))*SIN(2*C10))/(M10*SIN(PI()/180/3600))</f>
        <v>1.437262167157773</v>
      </c>
      <c r="P10">
        <f>(-I10*SIN(D10)+J10*COS(D10))/(N10*COS(C10)*SIN(PI()/180/3600))</f>
        <v>6.2034884750628585</v>
      </c>
      <c r="Q10">
        <f>A10+O10/3600</f>
        <v>49.93179924204945</v>
      </c>
      <c r="R10">
        <f>B10+P10/3600</f>
        <v>13.597523191274675</v>
      </c>
    </row>
    <row r="11" ht="12.75">
      <c r="A11" s="53" t="s">
        <v>170</v>
      </c>
    </row>
    <row r="12" spans="1:18" ht="12.75">
      <c r="A12">
        <f>Main!C27</f>
        <v>49.9314</v>
      </c>
      <c r="B12">
        <f>Main!D27</f>
        <v>13.5958</v>
      </c>
      <c r="C12">
        <f>A12*PI()/180</f>
        <v>0.8714673301302966</v>
      </c>
      <c r="D12">
        <f>B12*PI()/180</f>
        <v>0.23729147444264506</v>
      </c>
      <c r="E12">
        <v>6378137</v>
      </c>
      <c r="F12">
        <v>0.003352923712996414</v>
      </c>
      <c r="G12">
        <v>6377397.155</v>
      </c>
      <c r="H12">
        <v>0.003342773182174806</v>
      </c>
      <c r="I12">
        <f>-Parameters!D11</f>
        <v>-589</v>
      </c>
      <c r="J12">
        <f>-Parameters!E11</f>
        <v>-76</v>
      </c>
      <c r="K12">
        <f>-Parameters!F11</f>
        <v>-480</v>
      </c>
      <c r="L12">
        <f>SQRT(2*F12-F12*F12)</f>
        <v>0.08182056788221195</v>
      </c>
      <c r="M12">
        <f>E12*(1-L12*L12)/POWER((1-L12*L12*SIN(C12)*SIN(C12)),1.5)</f>
        <v>6372879.97743623</v>
      </c>
      <c r="N12">
        <f>E12/SQRT(1-L12*L12*SIN(C12)*SIN(C12))</f>
        <v>6390677.140755882</v>
      </c>
      <c r="O12">
        <f>(-I12*SIN(C12)*COS(D12)-J12*SIN(C12)*SIN(D12)+K12*COS(C12)+(E12*(H12-F12)+F12*(G12-E12))*SIN(2*C12))/(M12*SIN(PI()/180/3600))</f>
        <v>2.4786245177826935</v>
      </c>
      <c r="P12">
        <f>(-I12*SIN(D12)+J12*COS(D12))/(N12*COS(C12)*SIN(PI()/180/3600))</f>
        <v>3.2384176375651768</v>
      </c>
      <c r="Q12">
        <f>A12+O12/3600</f>
        <v>49.932088506810494</v>
      </c>
      <c r="R12">
        <f>B12+P12/3600</f>
        <v>13.59669956045488</v>
      </c>
    </row>
    <row r="13" spans="1:18" ht="12.75">
      <c r="A13">
        <f>Main!C27</f>
        <v>49.9314</v>
      </c>
      <c r="B13">
        <f>Main!D27</f>
        <v>13.5958</v>
      </c>
      <c r="C13">
        <f>A13*PI()/180</f>
        <v>0.8714673301302966</v>
      </c>
      <c r="D13">
        <f>B13*PI()/180</f>
        <v>0.23729147444264506</v>
      </c>
      <c r="E13">
        <v>6378137</v>
      </c>
      <c r="F13">
        <v>0.003352923712996414</v>
      </c>
      <c r="G13">
        <v>6378245</v>
      </c>
      <c r="H13">
        <v>0.003352329869259135</v>
      </c>
      <c r="I13">
        <f>Parameters!D12</f>
        <v>-26</v>
      </c>
      <c r="J13">
        <f>Parameters!E12</f>
        <v>121</v>
      </c>
      <c r="K13">
        <f>Parameters!F12</f>
        <v>78</v>
      </c>
      <c r="L13">
        <f>SQRT(2*F13-F13*F13)</f>
        <v>0.08182056788221195</v>
      </c>
      <c r="M13">
        <f>E13*(1-L13*L13)/POWER((1-L13*L13*SIN(C13)*SIN(C13)),1.5)</f>
        <v>6372879.97743623</v>
      </c>
      <c r="N13">
        <f>E13/SQRT(1-L13*L13*SIN(C13)*SIN(C13))</f>
        <v>6390677.140755882</v>
      </c>
      <c r="O13">
        <f>(-I13*SIN(C13)*COS(D13)-J13*SIN(C13)*SIN(D13)+K13*COS(C13)+(E13*(H13-F13)+F13*(G13-E13))*SIN(2*C13))/(M13*SIN(PI()/180/3600))</f>
        <v>1.4372621672476291</v>
      </c>
      <c r="P13">
        <f>(-I13*SIN(D13)+J13*COS(D13))/(N13*COS(C13)*SIN(PI()/180/3600))</f>
        <v>6.203488474734525</v>
      </c>
      <c r="Q13">
        <f>A13+O13/3600</f>
        <v>49.9317992394909</v>
      </c>
      <c r="R13">
        <f>B13+P13/3600</f>
        <v>13.597523191242983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Timar</dc:creator>
  <cp:keywords/>
  <dc:description/>
  <cp:lastModifiedBy>stepanek</cp:lastModifiedBy>
  <dcterms:created xsi:type="dcterms:W3CDTF">2002-11-25T20:55:07Z</dcterms:created>
  <dcterms:modified xsi:type="dcterms:W3CDTF">2007-01-16T11:08:34Z</dcterms:modified>
  <cp:category/>
  <cp:version/>
  <cp:contentType/>
  <cp:contentStatus/>
</cp:coreProperties>
</file>